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 De Guido\Downloads\"/>
    </mc:Choice>
  </mc:AlternateContent>
  <xr:revisionPtr revIDLastSave="0" documentId="8_{416B5EB4-1899-482A-9CC9-8B2D92B17643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INPUT" sheetId="1" r:id="rId1"/>
    <sheet name="SCHEDA DI INTERVENTO" sheetId="2" r:id="rId2"/>
    <sheet name="esprortazione" sheetId="3" r:id="rId3"/>
    <sheet name="CCNL-appoggio" sheetId="4" state="hidden" r:id="rId4"/>
    <sheet name="CCNL cooperative" sheetId="5" state="hidden" r:id="rId5"/>
    <sheet name="CCNL EELL" sheetId="6" state="hidden" r:id="rId6"/>
    <sheet name="CCNL EELL 2018" sheetId="7" state="hidden" r:id="rId7"/>
    <sheet name="CCNL cooperative (11-19)" sheetId="8" state="hidden" r:id="rId8"/>
    <sheet name="CCNL cooperative (4-20)" sheetId="9" state="hidden" r:id="rId9"/>
    <sheet name="CCNL cooperative (9-20)" sheetId="10" state="hidden" r:id="rId10"/>
  </sheets>
  <definedNames>
    <definedName name="_xlnm.Print_Area" localSheetId="2">esprortazione!$A$4</definedName>
    <definedName name="CCNLCoopCost">'CCNL-appoggio'!$B$2:$B$18</definedName>
    <definedName name="CCNLCoopDes">'CCNL-appoggio'!$A$2:$A$18</definedName>
    <definedName name="CCNLCostoOrarioAltroPersonale2">#REF!</definedName>
    <definedName name="CCNLCostoOrarioAltroPersonale3">#REF!</definedName>
    <definedName name="CCNLCostoOrarioAltroPesonale1" localSheetId="7">#REF!</definedName>
    <definedName name="CCNLCostoOrarioAltroPesonale1">#REF!</definedName>
    <definedName name="CCNLCostoOrarioAltroPesonale2" localSheetId="7">#REF!</definedName>
    <definedName name="CCNLCostoOrarioAltroPesonale2">#REF!</definedName>
    <definedName name="CCNLCostoOrarioAltroPesonale3" localSheetId="7">#REF!</definedName>
    <definedName name="CCNLCostoOrarioAltroPesonale3">#REF!</definedName>
    <definedName name="CCNLCostoOrarioAmministrativo" localSheetId="7">#REF!</definedName>
    <definedName name="CCNLCostoOrarioAmministrativo">#REF!</definedName>
    <definedName name="CCNLCostoOrarioAmministrativo1">#REF!</definedName>
    <definedName name="CCNLCostoOrarioAusiliari" localSheetId="7">#REF!</definedName>
    <definedName name="CCNLCostoOrarioAusiliari">#REF!</definedName>
    <definedName name="CCNLCostoOrarioCoordinatore" localSheetId="7">#REF!</definedName>
    <definedName name="CCNLCostoOrarioCoordinatore">#REF!</definedName>
    <definedName name="CCNLCostoOrarioCuoco" localSheetId="7">#REF!</definedName>
    <definedName name="CCNLCostoOrarioCuoco">#REF!</definedName>
    <definedName name="CCNLCostoOrarioEducatori" localSheetId="7">#REF!</definedName>
    <definedName name="CCNLCostoOrarioEducatori">#REF!</definedName>
    <definedName name="CCNLEELLCostOrd">'CCNL-appoggio'!$G$2:$G$24</definedName>
    <definedName name="CCNLEELLCostStraord">'CCNL-appoggio'!$H$2:$H$24</definedName>
    <definedName name="CCNLEELLDes">'CCNL-appoggio'!$F$2:$F$24</definedName>
    <definedName name="CostoPastoMassimo" localSheetId="7">#REF!</definedName>
    <definedName name="CostoPastoMassimo">#REF!</definedName>
    <definedName name="InfanziaDifferenzaScheda" localSheetId="7">#REF!</definedName>
    <definedName name="InfanziaDifferenzaScheda">#REF!</definedName>
    <definedName name="InfanziaParametroCostoPasto" localSheetId="7">#REF!</definedName>
    <definedName name="InfanziaParametroCostoPasto">#REF!</definedName>
    <definedName name="infanziaParametroPercentualeCoordinamento" localSheetId="7">#REF!</definedName>
    <definedName name="infanziaParametroPercentualeCoordinamento">#REF!</definedName>
    <definedName name="InfanziaParametroPercentualeSpeseGenerali" localSheetId="7">#REF!</definedName>
    <definedName name="InfanziaParametroPercentualeSpeseGenerali">#REF!</definedName>
    <definedName name="InfanziaPercentualeAltroPersonale1" localSheetId="7">#REF!</definedName>
    <definedName name="InfanziaPercentualeAltroPersonale1">#REF!</definedName>
    <definedName name="InfanziaPercentualeAltroPersonale2" localSheetId="7">#REF!</definedName>
    <definedName name="InfanziaPercentualeAltroPersonale2">#REF!</definedName>
    <definedName name="InfanziaPercentualeAltroPersonale3" localSheetId="7">#REF!</definedName>
    <definedName name="InfanziaPercentualeAltroPersonale3">#REF!</definedName>
    <definedName name="InfanziaPercentualeMassimaCoordinamento" localSheetId="7">#REF!</definedName>
    <definedName name="InfanziaPercentualeMassimaCoordinamento">#REF!</definedName>
    <definedName name="InfaziaPercentualeMassimaSpeseGenerali" localSheetId="7">#REF!</definedName>
    <definedName name="InfaziaPercentualeMassimaSpeseGenerali">#REF!</definedName>
    <definedName name="mensilitàAttualiDettaglio">INPUT!$D$33:$D$39</definedName>
    <definedName name="mensilitàPacDettaglio">INPUT!$Q$45:$Q$51</definedName>
    <definedName name="mensilitàPacDettaglio1415">INPUT!#REF!</definedName>
    <definedName name="mensilitàPacDettaglio1516">INPUT!#REF!</definedName>
    <definedName name="mensilitàPacDettaglio1617">INPUT!#REF!</definedName>
    <definedName name="mensilitàPacDettaglio1718">INPUT!#REF!</definedName>
    <definedName name="mensilitàPacDettaglio1819">INPUT!#REF!</definedName>
    <definedName name="mensilitàPacDettaglio1920">INPUT!#REF!</definedName>
    <definedName name="mensilitàPacDettaglio2021">INPUT!$D$88:$F$94</definedName>
    <definedName name="mensilitàPacDettaglio2122">INPUT!#REF!</definedName>
    <definedName name="numeroPasti" localSheetId="7">#REF!</definedName>
    <definedName name="numeroPasti">#REF!</definedName>
    <definedName name="oreMassimeServizioOrdinario" localSheetId="7">#REF!</definedName>
    <definedName name="oreMassimeServizioOrdinario">#REF!</definedName>
    <definedName name="oreMassimeServizioSabato" localSheetId="7">#REF!</definedName>
    <definedName name="oreMassimeServizioSabato">#REF!</definedName>
    <definedName name="oreMinimeServizioOrdinario" localSheetId="7">#REF!</definedName>
    <definedName name="oreMinimeServizioOrdinario">#REF!</definedName>
    <definedName name="oreMinimeServizioSabato" localSheetId="7">#REF!</definedName>
    <definedName name="oreMinimeServizioSabato">#REF!</definedName>
    <definedName name="oreServizioPacDettaglio">INPUT!$C$56:$C$62</definedName>
    <definedName name="ParametroGiorniServizioSettimanali" localSheetId="7">#REF!</definedName>
    <definedName name="ParametroGiorniServizioSettimanali">#REF!</definedName>
    <definedName name="ParametroMesiServizio" localSheetId="7">#REF!</definedName>
    <definedName name="ParametroMesiServizio">#REF!</definedName>
    <definedName name="ParametroOreServizioGiornaliero" localSheetId="7">#REF!</definedName>
    <definedName name="ParametroOreServizioGiornaliero">#REF!</definedName>
    <definedName name="ParametroOreServizioGiornalieroSabato" localSheetId="7">#REF!</definedName>
    <definedName name="ParametroOreServizioGiornalieroSabato">#REF!</definedName>
    <definedName name="ParametroOreSettinanaliServizio" localSheetId="7">#REF!</definedName>
    <definedName name="ParametroOreSettinanaliServizio">#REF!</definedName>
    <definedName name="ParametroUtentiComplessivi" localSheetId="7">#REF!</definedName>
    <definedName name="ParametroUtentiComplessivi">#REF!</definedName>
    <definedName name="ParametroUtentiDivezzi" localSheetId="7">#REF!</definedName>
    <definedName name="ParametroUtentiDivezzi">#REF!</definedName>
    <definedName name="ParametroUtentiLattanti" localSheetId="7">#REF!</definedName>
    <definedName name="ParametroUtentiLattanti">#REF!</definedName>
    <definedName name="ParametroUtentiSemidivezzi" localSheetId="7">#REF!</definedName>
    <definedName name="ParametroUtentiSemidivezzi">#REF!</definedName>
    <definedName name="risorseNettePacDettaglio1415">INPUT!#REF!</definedName>
    <definedName name="risorseNettePacDettaglio1516">INPUT!#REF!</definedName>
    <definedName name="risorseNettePacDettaglio1617">INPUT!#REF!</definedName>
    <definedName name="risorseNettePacDettaglio1718">INPUT!#REF!</definedName>
    <definedName name="risorseNettePacDettaglio1819">INPUT!#REF!</definedName>
    <definedName name="risorseNettePacDettaglio1920">INPUT!#REF!</definedName>
    <definedName name="risorseNettePacDettaglio2021">INPUT!$D$111:$F$117</definedName>
    <definedName name="risorseNettePacDettaglio2122">INPUT!#REF!</definedName>
    <definedName name="scedaCostoCoordinatore" localSheetId="7">#REF!</definedName>
    <definedName name="scedaCostoCoordinatore">#REF!</definedName>
    <definedName name="schedaCompartecipazione" localSheetId="7">#REF!</definedName>
    <definedName name="schedaCompartecipazione">#REF!</definedName>
    <definedName name="schedaCostaOrarioAmminitrativi" localSheetId="7">#REF!</definedName>
    <definedName name="schedaCostaOrarioAmminitrativi">#REF!</definedName>
    <definedName name="schedaCostiAusiliari" localSheetId="7">#REF!</definedName>
    <definedName name="schedaCostiAusiliari">#REF!</definedName>
    <definedName name="schedaCostiDiretti" localSheetId="7">#REF!</definedName>
    <definedName name="schedaCostiDiretti">#REF!</definedName>
    <definedName name="schedaCostiGenerali" localSheetId="7">#REF!</definedName>
    <definedName name="schedaCostiGenerali">#REF!</definedName>
    <definedName name="SchedaCostoAltroPersonale1" localSheetId="7">#REF!</definedName>
    <definedName name="SchedaCostoAltroPersonale1">#REF!</definedName>
    <definedName name="SchedaCostoAltroPersonale2" localSheetId="7">#REF!</definedName>
    <definedName name="SchedaCostoAltroPersonale2">#REF!</definedName>
    <definedName name="SchedaCostoAltroPersonale3" localSheetId="7">#REF!</definedName>
    <definedName name="SchedaCostoAltroPersonale3">#REF!</definedName>
    <definedName name="schedaCostoCuoco" localSheetId="7">#REF!</definedName>
    <definedName name="schedaCostoCuoco">#REF!</definedName>
    <definedName name="schedaCostoEducatori" localSheetId="7">#REF!</definedName>
    <definedName name="schedaCostoEducatori">#REF!</definedName>
    <definedName name="schedaCostoOrarioAusiliari" localSheetId="7">#REF!</definedName>
    <definedName name="schedaCostoOrarioAusiliari">#REF!</definedName>
    <definedName name="schedaCostoOrarioCoordinatore" localSheetId="7">#REF!</definedName>
    <definedName name="schedaCostoOrarioCoordinatore">#REF!</definedName>
    <definedName name="schedaCostoOrarioEducatori" localSheetId="7">#REF!</definedName>
    <definedName name="schedaCostoOrarioEducatori">#REF!</definedName>
    <definedName name="SchedaCostoPasti" localSheetId="7">#REF!</definedName>
    <definedName name="SchedaCostoPasti">#REF!</definedName>
    <definedName name="SchedaCostoPersonaleAmministrativo" localSheetId="7">#REF!</definedName>
    <definedName name="SchedaCostoPersonaleAmministrativo">#REF!</definedName>
    <definedName name="SchedaGiorniServizioSettimanali" localSheetId="7">#REF!</definedName>
    <definedName name="SchedaGiorniServizioSettimanali">#REF!</definedName>
    <definedName name="SchedaMesiServizio" localSheetId="7">#REF!</definedName>
    <definedName name="SchedaMesiServizio">#REF!</definedName>
    <definedName name="SchedaOreAltroPersonale1" localSheetId="7">#REF!</definedName>
    <definedName name="SchedaOreAltroPersonale1">#REF!</definedName>
    <definedName name="SchedaOreAltroPersonale2" localSheetId="7">#REF!</definedName>
    <definedName name="SchedaOreAltroPersonale2">#REF!</definedName>
    <definedName name="SchedaOreAltroPersonale3" localSheetId="7">#REF!</definedName>
    <definedName name="SchedaOreAltroPersonale3">#REF!</definedName>
    <definedName name="schedaOreComplessiveServizio" localSheetId="7">#REF!</definedName>
    <definedName name="schedaOreComplessiveServizio">#REF!</definedName>
    <definedName name="SchedaOreCoordinamento" localSheetId="7">#REF!</definedName>
    <definedName name="SchedaOreCoordinamento">#REF!</definedName>
    <definedName name="SchedaOrePersonaleAmministrativo" localSheetId="7">#REF!</definedName>
    <definedName name="SchedaOrePersonaleAmministrativo">#REF!</definedName>
    <definedName name="schedaOrePersonaleEducativo" localSheetId="7">#REF!</definedName>
    <definedName name="schedaOrePersonaleEducativo">#REF!</definedName>
    <definedName name="schedaOreServizioGiornaliero" localSheetId="7">#REF!</definedName>
    <definedName name="schedaOreServizioGiornaliero">#REF!</definedName>
    <definedName name="schedaOreServizioGiornalieroSabato" localSheetId="7">#REF!</definedName>
    <definedName name="schedaOreServizioGiornalieroSabato">#REF!</definedName>
    <definedName name="SchedaOreSettinanaliServizio" localSheetId="7">#REF!</definedName>
    <definedName name="SchedaOreSettinanaliServizio">#REF!</definedName>
    <definedName name="SchedaParametroCostoPasto" localSheetId="7">#REF!</definedName>
    <definedName name="SchedaParametroCostoPasto">#REF!</definedName>
    <definedName name="SchedaUtentiComplessivi" localSheetId="7">#REF!</definedName>
    <definedName name="SchedaUtentiComplessivi">#REF!</definedName>
    <definedName name="SchedaUtentiDivezzi" localSheetId="7">#REF!</definedName>
    <definedName name="SchedaUtentiDivezzi">#REF!</definedName>
    <definedName name="SchedaUtentiLattanti" localSheetId="7">#REF!</definedName>
    <definedName name="SchedaUtentiLattanti">#REF!</definedName>
    <definedName name="SchedaUtentiSemidivezzi" localSheetId="7">#REF!</definedName>
    <definedName name="SchedaUtentiSemidivezzi">#REF!</definedName>
    <definedName name="SchedeOreAusiliari" localSheetId="7">#REF!</definedName>
    <definedName name="SchedeOreAusiliari">#REF!</definedName>
    <definedName name="schedeOreEducatori" localSheetId="7">#REF!</definedName>
    <definedName name="schedeOreEducatori">#REF!</definedName>
    <definedName name="struttureInterventiPacDettaglio">INPUT!$B$45:$B$51</definedName>
    <definedName name="strutturePACdettaglio">INPUT!$B$33:$B$39</definedName>
    <definedName name="tipologiaInterventoPacDettaglio">INPUT!$C$45:$C$51</definedName>
    <definedName name="utentiAttualiDettaglio">INPUT!$C$33:$C$39</definedName>
    <definedName name="utentiPacDettaglio">INPUT!$D$45:$D$51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49" i="10" l="1"/>
  <c r="C48" i="10"/>
  <c r="E36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D31" i="10"/>
  <c r="C31" i="10"/>
  <c r="B31" i="10"/>
  <c r="M27" i="10"/>
  <c r="I27" i="10"/>
  <c r="H27" i="10"/>
  <c r="D27" i="10"/>
  <c r="C27" i="10"/>
  <c r="I26" i="10"/>
  <c r="H26" i="10"/>
  <c r="E26" i="10"/>
  <c r="D26" i="10"/>
  <c r="Q25" i="10"/>
  <c r="Q26" i="10" s="1"/>
  <c r="N25" i="10"/>
  <c r="N26" i="10" s="1"/>
  <c r="I25" i="10"/>
  <c r="H25" i="10"/>
  <c r="D25" i="10"/>
  <c r="C25" i="10"/>
  <c r="C26" i="10" s="1"/>
  <c r="I22" i="10"/>
  <c r="I21" i="10"/>
  <c r="F21" i="10"/>
  <c r="D21" i="10"/>
  <c r="D22" i="10" s="1"/>
  <c r="D30" i="10" s="1"/>
  <c r="D33" i="10" s="1"/>
  <c r="Q20" i="10"/>
  <c r="I20" i="10"/>
  <c r="D20" i="10"/>
  <c r="Q17" i="10"/>
  <c r="N17" i="10"/>
  <c r="M17" i="10"/>
  <c r="M20" i="10" s="1"/>
  <c r="J17" i="10"/>
  <c r="I17" i="10"/>
  <c r="H17" i="10"/>
  <c r="H21" i="10" s="1"/>
  <c r="E17" i="10"/>
  <c r="D17" i="10"/>
  <c r="R16" i="10"/>
  <c r="Q16" i="10"/>
  <c r="P16" i="10"/>
  <c r="P17" i="10" s="1"/>
  <c r="O16" i="10"/>
  <c r="O17" i="10" s="1"/>
  <c r="N16" i="10"/>
  <c r="M16" i="10"/>
  <c r="M25" i="10" s="1"/>
  <c r="M26" i="10" s="1"/>
  <c r="L16" i="10"/>
  <c r="L17" i="10" s="1"/>
  <c r="K16" i="10"/>
  <c r="K25" i="10" s="1"/>
  <c r="K26" i="10" s="1"/>
  <c r="J16" i="10"/>
  <c r="J25" i="10" s="1"/>
  <c r="J26" i="10" s="1"/>
  <c r="I16" i="10"/>
  <c r="H16" i="10"/>
  <c r="G16" i="10"/>
  <c r="F16" i="10"/>
  <c r="F17" i="10" s="1"/>
  <c r="E16" i="10"/>
  <c r="D16" i="10"/>
  <c r="C16" i="10"/>
  <c r="C17" i="10" s="1"/>
  <c r="B16" i="10"/>
  <c r="B2" i="10"/>
  <c r="B3" i="10" s="1"/>
  <c r="C49" i="9"/>
  <c r="C48" i="9"/>
  <c r="E36" i="9"/>
  <c r="R31" i="9"/>
  <c r="Q31" i="9"/>
  <c r="P31" i="9"/>
  <c r="O31" i="9"/>
  <c r="N31" i="9"/>
  <c r="M31" i="9"/>
  <c r="L31" i="9"/>
  <c r="K31" i="9"/>
  <c r="J31" i="9"/>
  <c r="I31" i="9"/>
  <c r="H31" i="9"/>
  <c r="G31" i="9"/>
  <c r="G33" i="9" s="1"/>
  <c r="F31" i="9"/>
  <c r="D31" i="9"/>
  <c r="C31" i="9"/>
  <c r="B31" i="9"/>
  <c r="P27" i="9"/>
  <c r="L27" i="9"/>
  <c r="G27" i="9"/>
  <c r="D27" i="9"/>
  <c r="P26" i="9"/>
  <c r="L26" i="9"/>
  <c r="E26" i="9"/>
  <c r="R25" i="9"/>
  <c r="R26" i="9" s="1"/>
  <c r="Q25" i="9"/>
  <c r="Q26" i="9" s="1"/>
  <c r="P25" i="9"/>
  <c r="N25" i="9"/>
  <c r="N26" i="9" s="1"/>
  <c r="M25" i="9"/>
  <c r="M26" i="9" s="1"/>
  <c r="L25" i="9"/>
  <c r="G22" i="9"/>
  <c r="G30" i="9" s="1"/>
  <c r="H21" i="9"/>
  <c r="G21" i="9"/>
  <c r="C21" i="9"/>
  <c r="R20" i="9"/>
  <c r="N20" i="9"/>
  <c r="B20" i="9"/>
  <c r="R17" i="9"/>
  <c r="R21" i="9" s="1"/>
  <c r="R22" i="9" s="1"/>
  <c r="Q17" i="9"/>
  <c r="Q21" i="9" s="1"/>
  <c r="P17" i="9"/>
  <c r="P21" i="9" s="1"/>
  <c r="N17" i="9"/>
  <c r="M17" i="9"/>
  <c r="M20" i="9" s="1"/>
  <c r="L17" i="9"/>
  <c r="L21" i="9" s="1"/>
  <c r="H17" i="9"/>
  <c r="G17" i="9"/>
  <c r="G20" i="9" s="1"/>
  <c r="R16" i="9"/>
  <c r="Q16" i="9"/>
  <c r="P16" i="9"/>
  <c r="O16" i="9"/>
  <c r="N16" i="9"/>
  <c r="M16" i="9"/>
  <c r="L16" i="9"/>
  <c r="K16" i="9"/>
  <c r="K25" i="9" s="1"/>
  <c r="K26" i="9" s="1"/>
  <c r="J16" i="9"/>
  <c r="I16" i="9"/>
  <c r="H16" i="9"/>
  <c r="H25" i="9" s="1"/>
  <c r="H26" i="9" s="1"/>
  <c r="G16" i="9"/>
  <c r="G25" i="9" s="1"/>
  <c r="G26" i="9" s="1"/>
  <c r="F16" i="9"/>
  <c r="F17" i="9" s="1"/>
  <c r="E16" i="9"/>
  <c r="E17" i="9" s="1"/>
  <c r="D16" i="9"/>
  <c r="D17" i="9" s="1"/>
  <c r="C16" i="9"/>
  <c r="C17" i="9" s="1"/>
  <c r="B16" i="9"/>
  <c r="B17" i="9" s="1"/>
  <c r="B27" i="9" s="1"/>
  <c r="B3" i="9"/>
  <c r="B2" i="9"/>
  <c r="C49" i="8"/>
  <c r="C48" i="8"/>
  <c r="E36" i="8"/>
  <c r="C36" i="8"/>
  <c r="C37" i="8" s="1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D31" i="8"/>
  <c r="C31" i="8"/>
  <c r="B31" i="8"/>
  <c r="P27" i="8"/>
  <c r="O27" i="8"/>
  <c r="D27" i="8"/>
  <c r="C27" i="8"/>
  <c r="K26" i="8"/>
  <c r="I25" i="8"/>
  <c r="I26" i="8" s="1"/>
  <c r="G25" i="8"/>
  <c r="G26" i="8" s="1"/>
  <c r="D25" i="8"/>
  <c r="D26" i="8" s="1"/>
  <c r="C25" i="8"/>
  <c r="C26" i="8" s="1"/>
  <c r="B25" i="8"/>
  <c r="B26" i="8" s="1"/>
  <c r="P21" i="8"/>
  <c r="P22" i="8" s="1"/>
  <c r="N21" i="8"/>
  <c r="D21" i="8"/>
  <c r="D22" i="8" s="1"/>
  <c r="D30" i="8" s="1"/>
  <c r="C21" i="8"/>
  <c r="C22" i="8" s="1"/>
  <c r="C30" i="8" s="1"/>
  <c r="C33" i="8" s="1"/>
  <c r="C35" i="8" s="1"/>
  <c r="P20" i="8"/>
  <c r="O20" i="8"/>
  <c r="N20" i="8"/>
  <c r="J20" i="8"/>
  <c r="C20" i="8"/>
  <c r="P17" i="8"/>
  <c r="O17" i="8"/>
  <c r="N17" i="8"/>
  <c r="J17" i="8"/>
  <c r="H17" i="8"/>
  <c r="G17" i="8"/>
  <c r="G20" i="8" s="1"/>
  <c r="D17" i="8"/>
  <c r="D20" i="8" s="1"/>
  <c r="C17" i="8"/>
  <c r="R16" i="8"/>
  <c r="R25" i="8" s="1"/>
  <c r="R26" i="8" s="1"/>
  <c r="Q16" i="8"/>
  <c r="P16" i="8"/>
  <c r="P25" i="8" s="1"/>
  <c r="P26" i="8" s="1"/>
  <c r="O16" i="8"/>
  <c r="O25" i="8" s="1"/>
  <c r="O26" i="8" s="1"/>
  <c r="N16" i="8"/>
  <c r="N25" i="8" s="1"/>
  <c r="N26" i="8" s="1"/>
  <c r="M16" i="8"/>
  <c r="M17" i="8" s="1"/>
  <c r="L16" i="8"/>
  <c r="L25" i="8" s="1"/>
  <c r="L26" i="8" s="1"/>
  <c r="K16" i="8"/>
  <c r="K25" i="8" s="1"/>
  <c r="J16" i="8"/>
  <c r="J25" i="8" s="1"/>
  <c r="J26" i="8" s="1"/>
  <c r="I16" i="8"/>
  <c r="I17" i="8" s="1"/>
  <c r="H16" i="8"/>
  <c r="H25" i="8" s="1"/>
  <c r="H26" i="8" s="1"/>
  <c r="G16" i="8"/>
  <c r="F16" i="8"/>
  <c r="E16" i="8"/>
  <c r="E17" i="8" s="1"/>
  <c r="D16" i="8"/>
  <c r="C16" i="8"/>
  <c r="B16" i="8"/>
  <c r="B17" i="8" s="1"/>
  <c r="B2" i="8"/>
  <c r="B3" i="8" s="1"/>
  <c r="B37" i="7"/>
  <c r="B38" i="7" s="1"/>
  <c r="C38" i="7" s="1"/>
  <c r="L24" i="7" s="1"/>
  <c r="H28" i="7"/>
  <c r="F28" i="7"/>
  <c r="B28" i="7"/>
  <c r="C28" i="7" s="1"/>
  <c r="D28" i="7" s="1"/>
  <c r="E28" i="7" s="1"/>
  <c r="H27" i="7"/>
  <c r="B27" i="7"/>
  <c r="C27" i="7" s="1"/>
  <c r="H26" i="7"/>
  <c r="B26" i="7"/>
  <c r="C26" i="7" s="1"/>
  <c r="H25" i="7"/>
  <c r="B25" i="7"/>
  <c r="C25" i="7" s="1"/>
  <c r="H24" i="7"/>
  <c r="B24" i="7"/>
  <c r="C24" i="7" s="1"/>
  <c r="D24" i="7" s="1"/>
  <c r="E24" i="7" s="1"/>
  <c r="F24" i="7" s="1"/>
  <c r="H23" i="7"/>
  <c r="E23" i="7"/>
  <c r="F23" i="7" s="1"/>
  <c r="C23" i="7"/>
  <c r="D23" i="7" s="1"/>
  <c r="B23" i="7"/>
  <c r="H22" i="7"/>
  <c r="E22" i="7"/>
  <c r="F22" i="7" s="1"/>
  <c r="D22" i="7"/>
  <c r="C22" i="7"/>
  <c r="B22" i="7"/>
  <c r="H21" i="7"/>
  <c r="C21" i="7"/>
  <c r="B21" i="7"/>
  <c r="H20" i="7"/>
  <c r="F20" i="7"/>
  <c r="B20" i="7"/>
  <c r="C20" i="7" s="1"/>
  <c r="D20" i="7" s="1"/>
  <c r="E20" i="7" s="1"/>
  <c r="H19" i="7"/>
  <c r="B19" i="7"/>
  <c r="C19" i="7" s="1"/>
  <c r="H18" i="7"/>
  <c r="C18" i="7"/>
  <c r="B18" i="7"/>
  <c r="H17" i="7"/>
  <c r="D17" i="7"/>
  <c r="E17" i="7" s="1"/>
  <c r="F17" i="7" s="1"/>
  <c r="C17" i="7"/>
  <c r="B17" i="7"/>
  <c r="H16" i="7"/>
  <c r="B16" i="7"/>
  <c r="C16" i="7" s="1"/>
  <c r="D16" i="7" s="1"/>
  <c r="E16" i="7" s="1"/>
  <c r="F16" i="7" s="1"/>
  <c r="H15" i="7"/>
  <c r="C15" i="7"/>
  <c r="B15" i="7"/>
  <c r="H14" i="7"/>
  <c r="B14" i="7"/>
  <c r="C14" i="7" s="1"/>
  <c r="H13" i="7"/>
  <c r="D13" i="7"/>
  <c r="C13" i="7"/>
  <c r="B13" i="7"/>
  <c r="H12" i="7"/>
  <c r="F12" i="7"/>
  <c r="B12" i="7"/>
  <c r="C12" i="7" s="1"/>
  <c r="D12" i="7" s="1"/>
  <c r="E12" i="7" s="1"/>
  <c r="H11" i="7"/>
  <c r="B11" i="7"/>
  <c r="C11" i="7" s="1"/>
  <c r="H10" i="7"/>
  <c r="B10" i="7"/>
  <c r="C10" i="7" s="1"/>
  <c r="H9" i="7"/>
  <c r="C9" i="7"/>
  <c r="B9" i="7"/>
  <c r="H8" i="7"/>
  <c r="E8" i="7"/>
  <c r="F8" i="7" s="1"/>
  <c r="G8" i="7" s="1"/>
  <c r="I8" i="7" s="1"/>
  <c r="J8" i="7" s="1"/>
  <c r="B8" i="7"/>
  <c r="C8" i="7" s="1"/>
  <c r="D8" i="7" s="1"/>
  <c r="H7" i="7"/>
  <c r="B7" i="7"/>
  <c r="C7" i="7" s="1"/>
  <c r="H6" i="7"/>
  <c r="C6" i="7"/>
  <c r="B6" i="7"/>
  <c r="M28" i="6"/>
  <c r="L28" i="6"/>
  <c r="K28" i="6"/>
  <c r="J28" i="6"/>
  <c r="H28" i="6"/>
  <c r="C28" i="6"/>
  <c r="D28" i="6" s="1"/>
  <c r="E28" i="6" s="1"/>
  <c r="F28" i="6" s="1"/>
  <c r="G28" i="6" s="1"/>
  <c r="I28" i="6" s="1"/>
  <c r="M27" i="6"/>
  <c r="L27" i="6"/>
  <c r="K27" i="6"/>
  <c r="H27" i="6"/>
  <c r="F27" i="6"/>
  <c r="G27" i="6" s="1"/>
  <c r="I27" i="6" s="1"/>
  <c r="J27" i="6" s="1"/>
  <c r="D27" i="6"/>
  <c r="E27" i="6" s="1"/>
  <c r="C27" i="6"/>
  <c r="H26" i="6"/>
  <c r="C26" i="6"/>
  <c r="M25" i="6"/>
  <c r="L25" i="6"/>
  <c r="K25" i="6"/>
  <c r="H25" i="6"/>
  <c r="C25" i="6"/>
  <c r="D25" i="6" s="1"/>
  <c r="E25" i="6" s="1"/>
  <c r="F25" i="6" s="1"/>
  <c r="G25" i="6" s="1"/>
  <c r="I25" i="6" s="1"/>
  <c r="J25" i="6" s="1"/>
  <c r="M24" i="6"/>
  <c r="L24" i="6"/>
  <c r="K24" i="6"/>
  <c r="H24" i="6"/>
  <c r="E24" i="6"/>
  <c r="F24" i="6" s="1"/>
  <c r="G24" i="6" s="1"/>
  <c r="I24" i="6" s="1"/>
  <c r="J24" i="6" s="1"/>
  <c r="D24" i="6"/>
  <c r="C24" i="6"/>
  <c r="H23" i="6"/>
  <c r="C23" i="6"/>
  <c r="M22" i="6"/>
  <c r="L22" i="6"/>
  <c r="K22" i="6"/>
  <c r="H22" i="6"/>
  <c r="G22" i="6"/>
  <c r="I22" i="6" s="1"/>
  <c r="J22" i="6" s="1"/>
  <c r="E22" i="6"/>
  <c r="F22" i="6" s="1"/>
  <c r="D22" i="6"/>
  <c r="C22" i="6"/>
  <c r="H21" i="6"/>
  <c r="G21" i="6"/>
  <c r="I21" i="6" s="1"/>
  <c r="J21" i="6" s="1"/>
  <c r="F21" i="6"/>
  <c r="C21" i="6"/>
  <c r="D21" i="6" s="1"/>
  <c r="E21" i="6" s="1"/>
  <c r="M20" i="6"/>
  <c r="L20" i="6"/>
  <c r="K20" i="6"/>
  <c r="I20" i="6"/>
  <c r="J20" i="6" s="1"/>
  <c r="H20" i="6"/>
  <c r="C20" i="6"/>
  <c r="D20" i="6" s="1"/>
  <c r="E20" i="6" s="1"/>
  <c r="F20" i="6" s="1"/>
  <c r="G20" i="6" s="1"/>
  <c r="M19" i="6"/>
  <c r="L19" i="6"/>
  <c r="H19" i="6"/>
  <c r="D19" i="6"/>
  <c r="E19" i="6" s="1"/>
  <c r="F19" i="6" s="1"/>
  <c r="G19" i="6" s="1"/>
  <c r="I19" i="6" s="1"/>
  <c r="J19" i="6" s="1"/>
  <c r="C19" i="6"/>
  <c r="K19" i="6" s="1"/>
  <c r="H18" i="6"/>
  <c r="C18" i="6"/>
  <c r="M17" i="6"/>
  <c r="L17" i="6"/>
  <c r="K17" i="6"/>
  <c r="J17" i="6"/>
  <c r="H17" i="6"/>
  <c r="F17" i="6"/>
  <c r="G17" i="6" s="1"/>
  <c r="I17" i="6" s="1"/>
  <c r="C17" i="6"/>
  <c r="D17" i="6" s="1"/>
  <c r="E17" i="6" s="1"/>
  <c r="H16" i="6"/>
  <c r="C16" i="6"/>
  <c r="M15" i="6"/>
  <c r="L15" i="6"/>
  <c r="K15" i="6"/>
  <c r="H15" i="6"/>
  <c r="D15" i="6"/>
  <c r="E15" i="6" s="1"/>
  <c r="F15" i="6" s="1"/>
  <c r="G15" i="6" s="1"/>
  <c r="I15" i="6" s="1"/>
  <c r="J15" i="6" s="1"/>
  <c r="C15" i="6"/>
  <c r="K14" i="6"/>
  <c r="H14" i="6"/>
  <c r="C14" i="6"/>
  <c r="H13" i="6"/>
  <c r="C13" i="6"/>
  <c r="M12" i="6"/>
  <c r="L12" i="6"/>
  <c r="K12" i="6"/>
  <c r="H12" i="6"/>
  <c r="C12" i="6"/>
  <c r="D12" i="6" s="1"/>
  <c r="E12" i="6" s="1"/>
  <c r="F12" i="6" s="1"/>
  <c r="G12" i="6" s="1"/>
  <c r="I12" i="6" s="1"/>
  <c r="J12" i="6" s="1"/>
  <c r="M11" i="6"/>
  <c r="L11" i="6"/>
  <c r="K11" i="6"/>
  <c r="I11" i="6"/>
  <c r="J11" i="6" s="1"/>
  <c r="H11" i="6"/>
  <c r="E11" i="6"/>
  <c r="F11" i="6" s="1"/>
  <c r="G11" i="6" s="1"/>
  <c r="D11" i="6"/>
  <c r="C11" i="6"/>
  <c r="K10" i="6"/>
  <c r="H10" i="6"/>
  <c r="C10" i="6"/>
  <c r="M9" i="6"/>
  <c r="L9" i="6"/>
  <c r="K9" i="6"/>
  <c r="H9" i="6"/>
  <c r="E9" i="6"/>
  <c r="F9" i="6" s="1"/>
  <c r="G9" i="6" s="1"/>
  <c r="I9" i="6" s="1"/>
  <c r="J9" i="6" s="1"/>
  <c r="C9" i="6"/>
  <c r="D9" i="6" s="1"/>
  <c r="M8" i="6"/>
  <c r="L8" i="6"/>
  <c r="K8" i="6"/>
  <c r="H8" i="6"/>
  <c r="C8" i="6"/>
  <c r="D8" i="6" s="1"/>
  <c r="E8" i="6" s="1"/>
  <c r="F8" i="6" s="1"/>
  <c r="G8" i="6" s="1"/>
  <c r="I8" i="6" s="1"/>
  <c r="J8" i="6" s="1"/>
  <c r="M7" i="6"/>
  <c r="L7" i="6"/>
  <c r="H7" i="6"/>
  <c r="C7" i="6"/>
  <c r="D7" i="6" s="1"/>
  <c r="E7" i="6" s="1"/>
  <c r="F7" i="6" s="1"/>
  <c r="G7" i="6" s="1"/>
  <c r="I7" i="6" s="1"/>
  <c r="J7" i="6" s="1"/>
  <c r="H6" i="6"/>
  <c r="C6" i="6"/>
  <c r="C48" i="5"/>
  <c r="C47" i="5"/>
  <c r="R30" i="5"/>
  <c r="Q30" i="5"/>
  <c r="P30" i="5"/>
  <c r="O30" i="5"/>
  <c r="N30" i="5"/>
  <c r="M30" i="5"/>
  <c r="L30" i="5"/>
  <c r="K30" i="5"/>
  <c r="J30" i="5"/>
  <c r="I30" i="5"/>
  <c r="H30" i="5"/>
  <c r="G30" i="5"/>
  <c r="F30" i="5"/>
  <c r="E30" i="5"/>
  <c r="D30" i="5"/>
  <c r="C30" i="5"/>
  <c r="B30" i="5"/>
  <c r="M26" i="5"/>
  <c r="B26" i="5"/>
  <c r="N25" i="5"/>
  <c r="L25" i="5"/>
  <c r="R24" i="5"/>
  <c r="R25" i="5" s="1"/>
  <c r="Q24" i="5"/>
  <c r="Q25" i="5" s="1"/>
  <c r="O24" i="5"/>
  <c r="O25" i="5" s="1"/>
  <c r="N24" i="5"/>
  <c r="M24" i="5"/>
  <c r="M25" i="5" s="1"/>
  <c r="L24" i="5"/>
  <c r="K24" i="5"/>
  <c r="K25" i="5" s="1"/>
  <c r="C24" i="5"/>
  <c r="C25" i="5" s="1"/>
  <c r="B24" i="5"/>
  <c r="B25" i="5" s="1"/>
  <c r="Q21" i="5"/>
  <c r="M21" i="5"/>
  <c r="E21" i="5"/>
  <c r="E22" i="5" s="1"/>
  <c r="E20" i="5"/>
  <c r="B20" i="5"/>
  <c r="Q17" i="5"/>
  <c r="O17" i="5"/>
  <c r="O21" i="5" s="1"/>
  <c r="G17" i="5"/>
  <c r="F17" i="5"/>
  <c r="E17" i="5"/>
  <c r="E26" i="5" s="1"/>
  <c r="C17" i="5"/>
  <c r="R16" i="5"/>
  <c r="R17" i="5" s="1"/>
  <c r="Q16" i="5"/>
  <c r="P16" i="5"/>
  <c r="O16" i="5"/>
  <c r="N16" i="5"/>
  <c r="N17" i="5" s="1"/>
  <c r="M16" i="5"/>
  <c r="M17" i="5" s="1"/>
  <c r="L16" i="5"/>
  <c r="L17" i="5" s="1"/>
  <c r="K16" i="5"/>
  <c r="K17" i="5" s="1"/>
  <c r="J16" i="5"/>
  <c r="J24" i="5" s="1"/>
  <c r="J25" i="5" s="1"/>
  <c r="I16" i="5"/>
  <c r="I24" i="5" s="1"/>
  <c r="I25" i="5" s="1"/>
  <c r="H16" i="5"/>
  <c r="G16" i="5"/>
  <c r="G24" i="5" s="1"/>
  <c r="G25" i="5" s="1"/>
  <c r="F16" i="5"/>
  <c r="F24" i="5" s="1"/>
  <c r="F25" i="5" s="1"/>
  <c r="E16" i="5"/>
  <c r="E24" i="5" s="1"/>
  <c r="D16" i="5"/>
  <c r="C16" i="5"/>
  <c r="B16" i="5"/>
  <c r="B17" i="5" s="1"/>
  <c r="B2" i="5"/>
  <c r="B3" i="5" s="1"/>
  <c r="L24" i="4"/>
  <c r="K24" i="4"/>
  <c r="L23" i="4"/>
  <c r="K23" i="4"/>
  <c r="L22" i="4"/>
  <c r="K22" i="4"/>
  <c r="L21" i="4"/>
  <c r="K21" i="4"/>
  <c r="L20" i="4"/>
  <c r="K20" i="4"/>
  <c r="L19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4" i="4"/>
  <c r="K3" i="4"/>
  <c r="N2" i="4"/>
  <c r="K2" i="4"/>
  <c r="L117" i="2"/>
  <c r="L116" i="2"/>
  <c r="L115" i="2"/>
  <c r="L114" i="2"/>
  <c r="B108" i="2"/>
  <c r="B88" i="2"/>
  <c r="N87" i="2"/>
  <c r="B77" i="2"/>
  <c r="K76" i="2"/>
  <c r="G76" i="2"/>
  <c r="G74" i="2"/>
  <c r="B68" i="2"/>
  <c r="B79" i="2" s="1"/>
  <c r="B90" i="2" s="1"/>
  <c r="B66" i="2"/>
  <c r="B65" i="2"/>
  <c r="B76" i="2" s="1"/>
  <c r="B87" i="2" s="1"/>
  <c r="B63" i="2"/>
  <c r="B74" i="2" s="1"/>
  <c r="B85" i="2" s="1"/>
  <c r="K57" i="2"/>
  <c r="G57" i="2"/>
  <c r="B57" i="2"/>
  <c r="K56" i="2"/>
  <c r="G55" i="2"/>
  <c r="B55" i="2"/>
  <c r="N54" i="2"/>
  <c r="K54" i="2"/>
  <c r="G54" i="2"/>
  <c r="B54" i="2"/>
  <c r="N52" i="2"/>
  <c r="K52" i="2"/>
  <c r="G52" i="2"/>
  <c r="B52" i="2"/>
  <c r="G48" i="2"/>
  <c r="B48" i="2"/>
  <c r="N58" i="2" s="1"/>
  <c r="G47" i="2"/>
  <c r="B47" i="2"/>
  <c r="K90" i="2" s="1"/>
  <c r="G46" i="2"/>
  <c r="B46" i="2"/>
  <c r="N78" i="2" s="1"/>
  <c r="B45" i="2"/>
  <c r="G45" i="2" s="1"/>
  <c r="G44" i="2"/>
  <c r="B44" i="2"/>
  <c r="G87" i="2" s="1"/>
  <c r="B43" i="2"/>
  <c r="N53" i="2" s="1"/>
  <c r="G42" i="2"/>
  <c r="B42" i="2"/>
  <c r="N74" i="2" s="1"/>
  <c r="K38" i="2"/>
  <c r="I38" i="2"/>
  <c r="B38" i="2"/>
  <c r="K55" i="2" s="1"/>
  <c r="I32" i="2"/>
  <c r="E29" i="2"/>
  <c r="AV29" i="2" s="1"/>
  <c r="E27" i="2"/>
  <c r="AV27" i="2" s="1"/>
  <c r="E25" i="2"/>
  <c r="AV25" i="2" s="1"/>
  <c r="E23" i="2"/>
  <c r="AV23" i="2" s="1"/>
  <c r="E21" i="2"/>
  <c r="E20" i="2"/>
  <c r="B17" i="2"/>
  <c r="B16" i="2"/>
  <c r="B37" i="2" s="1"/>
  <c r="B15" i="2"/>
  <c r="B36" i="2" s="1"/>
  <c r="K79" i="2" s="1"/>
  <c r="B14" i="2"/>
  <c r="AV11" i="2"/>
  <c r="E11" i="2"/>
  <c r="AV10" i="2"/>
  <c r="E10" i="2"/>
  <c r="E9" i="2"/>
  <c r="AV9" i="2" s="1"/>
  <c r="AV8" i="2"/>
  <c r="E8" i="2"/>
  <c r="E7" i="2"/>
  <c r="AV7" i="2" s="1"/>
  <c r="AV6" i="2"/>
  <c r="E6" i="2"/>
  <c r="B3" i="3" s="1"/>
  <c r="A4" i="2"/>
  <c r="A3" i="2"/>
  <c r="C3" i="3" s="1"/>
  <c r="H229" i="1"/>
  <c r="C229" i="1"/>
  <c r="C228" i="1"/>
  <c r="H227" i="1"/>
  <c r="D227" i="1"/>
  <c r="C227" i="1"/>
  <c r="B227" i="1"/>
  <c r="H226" i="1"/>
  <c r="C226" i="1"/>
  <c r="C225" i="1"/>
  <c r="D224" i="1"/>
  <c r="C224" i="1"/>
  <c r="H223" i="1"/>
  <c r="D223" i="1"/>
  <c r="C223" i="1"/>
  <c r="B223" i="1"/>
  <c r="H222" i="1"/>
  <c r="C222" i="1"/>
  <c r="H221" i="1"/>
  <c r="C221" i="1"/>
  <c r="H220" i="1"/>
  <c r="C220" i="1"/>
  <c r="B220" i="1"/>
  <c r="B221" i="1" s="1"/>
  <c r="A220" i="1"/>
  <c r="C219" i="1"/>
  <c r="B219" i="1"/>
  <c r="A219" i="1"/>
  <c r="H218" i="1"/>
  <c r="D218" i="1"/>
  <c r="C218" i="1"/>
  <c r="B218" i="1"/>
  <c r="A218" i="1" s="1"/>
  <c r="H217" i="1"/>
  <c r="C217" i="1"/>
  <c r="H216" i="1"/>
  <c r="C216" i="1"/>
  <c r="B216" i="1"/>
  <c r="B217" i="1" s="1"/>
  <c r="A217" i="1" s="1"/>
  <c r="A216" i="1"/>
  <c r="C215" i="1"/>
  <c r="B215" i="1"/>
  <c r="A215" i="1"/>
  <c r="H214" i="1"/>
  <c r="D214" i="1"/>
  <c r="C214" i="1"/>
  <c r="B214" i="1"/>
  <c r="A214" i="1" s="1"/>
  <c r="C183" i="1"/>
  <c r="B183" i="1"/>
  <c r="A183" i="1"/>
  <c r="C182" i="1"/>
  <c r="B182" i="1"/>
  <c r="A182" i="1"/>
  <c r="C181" i="1"/>
  <c r="B181" i="1"/>
  <c r="A181" i="1" s="1"/>
  <c r="C180" i="1"/>
  <c r="B180" i="1"/>
  <c r="A180" i="1"/>
  <c r="C179" i="1"/>
  <c r="B179" i="1"/>
  <c r="A179" i="1"/>
  <c r="C178" i="1"/>
  <c r="B178" i="1"/>
  <c r="A178" i="1"/>
  <c r="C177" i="1"/>
  <c r="B177" i="1"/>
  <c r="A177" i="1" s="1"/>
  <c r="C176" i="1"/>
  <c r="B176" i="1"/>
  <c r="A176" i="1"/>
  <c r="C175" i="1"/>
  <c r="B175" i="1"/>
  <c r="A175" i="1" s="1"/>
  <c r="C174" i="1"/>
  <c r="B174" i="1"/>
  <c r="A174" i="1"/>
  <c r="C173" i="1"/>
  <c r="B173" i="1"/>
  <c r="A173" i="1" s="1"/>
  <c r="C172" i="1"/>
  <c r="B172" i="1"/>
  <c r="A172" i="1"/>
  <c r="C171" i="1"/>
  <c r="B171" i="1"/>
  <c r="C170" i="1"/>
  <c r="B170" i="1"/>
  <c r="C169" i="1"/>
  <c r="B169" i="1"/>
  <c r="A169" i="1" s="1"/>
  <c r="C168" i="1"/>
  <c r="B168" i="1"/>
  <c r="A168" i="1"/>
  <c r="H146" i="1"/>
  <c r="L108" i="2" s="1"/>
  <c r="H145" i="1"/>
  <c r="L109" i="2" s="1"/>
  <c r="AI143" i="1"/>
  <c r="G143" i="1"/>
  <c r="E143" i="1"/>
  <c r="AI142" i="1"/>
  <c r="E142" i="1"/>
  <c r="G142" i="1" s="1"/>
  <c r="AI141" i="1"/>
  <c r="E141" i="1"/>
  <c r="AI140" i="1"/>
  <c r="D139" i="1"/>
  <c r="C139" i="1"/>
  <c r="C138" i="1"/>
  <c r="C137" i="1"/>
  <c r="C136" i="1"/>
  <c r="D135" i="1"/>
  <c r="C135" i="1"/>
  <c r="C134" i="1"/>
  <c r="C112" i="1"/>
  <c r="B112" i="1"/>
  <c r="C105" i="1"/>
  <c r="C117" i="1" s="1"/>
  <c r="B105" i="1"/>
  <c r="B117" i="1" s="1"/>
  <c r="C104" i="1"/>
  <c r="C116" i="1" s="1"/>
  <c r="C102" i="1"/>
  <c r="C114" i="1" s="1"/>
  <c r="B102" i="1"/>
  <c r="B114" i="1" s="1"/>
  <c r="B101" i="1"/>
  <c r="B113" i="1" s="1"/>
  <c r="C100" i="1"/>
  <c r="B100" i="1"/>
  <c r="C99" i="1"/>
  <c r="C111" i="1" s="1"/>
  <c r="B99" i="1"/>
  <c r="B111" i="1" s="1"/>
  <c r="AB94" i="1"/>
  <c r="G94" i="1"/>
  <c r="C94" i="1"/>
  <c r="B94" i="1"/>
  <c r="AB93" i="1"/>
  <c r="G93" i="1"/>
  <c r="C93" i="1"/>
  <c r="B93" i="1"/>
  <c r="B104" i="1" s="1"/>
  <c r="B116" i="1" s="1"/>
  <c r="AB92" i="1"/>
  <c r="G92" i="1"/>
  <c r="C92" i="1"/>
  <c r="C103" i="1" s="1"/>
  <c r="C115" i="1" s="1"/>
  <c r="B92" i="1"/>
  <c r="B103" i="1" s="1"/>
  <c r="B115" i="1" s="1"/>
  <c r="AB91" i="1"/>
  <c r="G91" i="1"/>
  <c r="C91" i="1"/>
  <c r="B91" i="1"/>
  <c r="AB90" i="1"/>
  <c r="G90" i="1"/>
  <c r="C90" i="1"/>
  <c r="C101" i="1" s="1"/>
  <c r="C113" i="1" s="1"/>
  <c r="B90" i="1"/>
  <c r="AB89" i="1"/>
  <c r="G89" i="1"/>
  <c r="AB88" i="1"/>
  <c r="G88" i="1"/>
  <c r="D76" i="1"/>
  <c r="D73" i="1"/>
  <c r="D72" i="1"/>
  <c r="D67" i="1"/>
  <c r="G62" i="1"/>
  <c r="G61" i="1"/>
  <c r="G60" i="1"/>
  <c r="K59" i="1"/>
  <c r="I59" i="1"/>
  <c r="G59" i="1"/>
  <c r="C59" i="1"/>
  <c r="I57" i="2" s="1"/>
  <c r="B59" i="1"/>
  <c r="K58" i="1"/>
  <c r="I58" i="1"/>
  <c r="G58" i="1"/>
  <c r="C58" i="1"/>
  <c r="B58" i="1"/>
  <c r="P51" i="1"/>
  <c r="P50" i="1"/>
  <c r="P49" i="1"/>
  <c r="P48" i="1"/>
  <c r="P47" i="1"/>
  <c r="D26" i="1"/>
  <c r="AR21" i="1"/>
  <c r="AR20" i="1"/>
  <c r="AR19" i="1"/>
  <c r="AR18" i="1"/>
  <c r="AR17" i="1"/>
  <c r="M37" i="2" l="1"/>
  <c r="G139" i="1"/>
  <c r="E140" i="1" a="1"/>
  <c r="E140" i="1" s="1"/>
  <c r="G140" i="1" s="1"/>
  <c r="I90" i="2"/>
  <c r="D136" i="1"/>
  <c r="D138" i="1"/>
  <c r="B222" i="1"/>
  <c r="A222" i="1" s="1"/>
  <c r="A221" i="1"/>
  <c r="B228" i="1"/>
  <c r="N90" i="2"/>
  <c r="I37" i="2"/>
  <c r="L20" i="10"/>
  <c r="L27" i="10"/>
  <c r="L21" i="10"/>
  <c r="L22" i="10" s="1"/>
  <c r="E25" i="5"/>
  <c r="E29" i="5"/>
  <c r="E32" i="5" s="1"/>
  <c r="F26" i="5"/>
  <c r="F21" i="5"/>
  <c r="F20" i="5"/>
  <c r="C39" i="8"/>
  <c r="C40" i="8" s="1"/>
  <c r="C38" i="8"/>
  <c r="K23" i="6"/>
  <c r="M23" i="6"/>
  <c r="D23" i="6"/>
  <c r="E23" i="6" s="1"/>
  <c r="F23" i="6" s="1"/>
  <c r="G23" i="6" s="1"/>
  <c r="I23" i="6" s="1"/>
  <c r="J23" i="6" s="1"/>
  <c r="L23" i="6"/>
  <c r="D36" i="10"/>
  <c r="D37" i="10" s="1"/>
  <c r="D35" i="10"/>
  <c r="B188" i="1"/>
  <c r="A170" i="1"/>
  <c r="B225" i="1"/>
  <c r="B224" i="1"/>
  <c r="A224" i="1" s="1"/>
  <c r="A223" i="1"/>
  <c r="G79" i="2"/>
  <c r="O21" i="10"/>
  <c r="O27" i="10"/>
  <c r="O20" i="10"/>
  <c r="G141" i="1"/>
  <c r="D134" i="1"/>
  <c r="A171" i="1"/>
  <c r="B35" i="2"/>
  <c r="M36" i="2"/>
  <c r="K36" i="2"/>
  <c r="I36" i="2"/>
  <c r="I74" i="2"/>
  <c r="N77" i="2"/>
  <c r="K77" i="2"/>
  <c r="N79" i="2"/>
  <c r="G77" i="2"/>
  <c r="K74" i="2"/>
  <c r="N76" i="2"/>
  <c r="G88" i="2"/>
  <c r="N88" i="2"/>
  <c r="I88" i="2"/>
  <c r="N85" i="2"/>
  <c r="K85" i="2"/>
  <c r="K37" i="2"/>
  <c r="I85" i="2"/>
  <c r="I87" i="2"/>
  <c r="M14" i="6"/>
  <c r="L14" i="6"/>
  <c r="D14" i="6"/>
  <c r="E14" i="6" s="1"/>
  <c r="F14" i="6" s="1"/>
  <c r="G14" i="6" s="1"/>
  <c r="I14" i="6" s="1"/>
  <c r="J14" i="6" s="1"/>
  <c r="G17" i="7"/>
  <c r="I17" i="7" s="1"/>
  <c r="J17" i="7" s="1"/>
  <c r="P30" i="8"/>
  <c r="I25" i="9"/>
  <c r="I26" i="9" s="1"/>
  <c r="I17" i="9"/>
  <c r="H140" i="1"/>
  <c r="N56" i="2"/>
  <c r="G65" i="2"/>
  <c r="I76" i="2"/>
  <c r="K87" i="2"/>
  <c r="G90" i="2"/>
  <c r="B21" i="5"/>
  <c r="B22" i="5" s="1"/>
  <c r="B29" i="5" s="1"/>
  <c r="B32" i="5" s="1"/>
  <c r="R26" i="5"/>
  <c r="R21" i="5"/>
  <c r="M13" i="7"/>
  <c r="L25" i="10"/>
  <c r="L26" i="10" s="1"/>
  <c r="C21" i="5"/>
  <c r="C20" i="5"/>
  <c r="K6" i="6"/>
  <c r="D6" i="6"/>
  <c r="E6" i="6" s="1"/>
  <c r="F6" i="6" s="1"/>
  <c r="G6" i="6" s="1"/>
  <c r="I6" i="6" s="1"/>
  <c r="J6" i="6" s="1"/>
  <c r="D11" i="7"/>
  <c r="E11" i="7" s="1"/>
  <c r="F11" i="7" s="1"/>
  <c r="G11" i="7" s="1"/>
  <c r="I11" i="7" s="1"/>
  <c r="J11" i="7" s="1"/>
  <c r="M14" i="7"/>
  <c r="L14" i="7"/>
  <c r="K14" i="7"/>
  <c r="D14" i="7"/>
  <c r="E14" i="7" s="1"/>
  <c r="F14" i="7" s="1"/>
  <c r="G14" i="7" s="1"/>
  <c r="I14" i="7" s="1"/>
  <c r="J14" i="7" s="1"/>
  <c r="M23" i="7"/>
  <c r="G28" i="7"/>
  <c r="I28" i="7" s="1"/>
  <c r="J28" i="7" s="1"/>
  <c r="M21" i="8"/>
  <c r="M20" i="8"/>
  <c r="M25" i="8"/>
  <c r="M26" i="8" s="1"/>
  <c r="G138" i="1"/>
  <c r="I54" i="2"/>
  <c r="I79" i="2"/>
  <c r="G85" i="2"/>
  <c r="D24" i="5"/>
  <c r="D25" i="5" s="1"/>
  <c r="D17" i="5"/>
  <c r="D18" i="7"/>
  <c r="E18" i="7" s="1"/>
  <c r="F18" i="7" s="1"/>
  <c r="G18" i="7" s="1"/>
  <c r="I18" i="7" s="1"/>
  <c r="J18" i="7" s="1"/>
  <c r="G24" i="7"/>
  <c r="I24" i="7" s="1"/>
  <c r="J24" i="7" s="1"/>
  <c r="G35" i="9"/>
  <c r="G36" i="9"/>
  <c r="G37" i="9" s="1"/>
  <c r="P25" i="10"/>
  <c r="P26" i="10" s="1"/>
  <c r="M38" i="2"/>
  <c r="O20" i="5"/>
  <c r="O22" i="5" s="1"/>
  <c r="O29" i="5" s="1"/>
  <c r="O32" i="5" s="1"/>
  <c r="C26" i="5"/>
  <c r="L6" i="6"/>
  <c r="M26" i="6"/>
  <c r="K26" i="6"/>
  <c r="D15" i="7"/>
  <c r="E15" i="7" s="1"/>
  <c r="F15" i="7" s="1"/>
  <c r="G15" i="7" s="1"/>
  <c r="I15" i="7" s="1"/>
  <c r="J15" i="7" s="1"/>
  <c r="M25" i="7"/>
  <c r="A167" i="1"/>
  <c r="I52" i="2"/>
  <c r="N57" i="2"/>
  <c r="K63" i="2"/>
  <c r="I77" i="2"/>
  <c r="K88" i="2"/>
  <c r="G91" i="2"/>
  <c r="H24" i="5"/>
  <c r="H25" i="5" s="1"/>
  <c r="H17" i="5"/>
  <c r="Q20" i="5"/>
  <c r="Q22" i="5" s="1"/>
  <c r="Q29" i="5" s="1"/>
  <c r="Q32" i="5" s="1"/>
  <c r="M6" i="6"/>
  <c r="D26" i="6"/>
  <c r="E26" i="6" s="1"/>
  <c r="F26" i="6" s="1"/>
  <c r="G26" i="6" s="1"/>
  <c r="I26" i="6" s="1"/>
  <c r="J26" i="6" s="1"/>
  <c r="L8" i="7"/>
  <c r="D25" i="7"/>
  <c r="E25" i="7" s="1"/>
  <c r="F25" i="7" s="1"/>
  <c r="G25" i="7" s="1"/>
  <c r="I25" i="7" s="1"/>
  <c r="J25" i="7" s="1"/>
  <c r="B185" i="1"/>
  <c r="G80" i="2"/>
  <c r="I91" i="2"/>
  <c r="O26" i="5"/>
  <c r="L18" i="6"/>
  <c r="K18" i="6"/>
  <c r="D18" i="6"/>
  <c r="E18" i="6" s="1"/>
  <c r="F18" i="6" s="1"/>
  <c r="G18" i="6" s="1"/>
  <c r="I18" i="6" s="1"/>
  <c r="J18" i="6" s="1"/>
  <c r="D19" i="7"/>
  <c r="E19" i="7" s="1"/>
  <c r="F19" i="7" s="1"/>
  <c r="G19" i="7" s="1"/>
  <c r="I19" i="7" s="1"/>
  <c r="J19" i="7" s="1"/>
  <c r="M27" i="8"/>
  <c r="G26" i="5"/>
  <c r="G21" i="5"/>
  <c r="G22" i="5" s="1"/>
  <c r="G29" i="5" s="1"/>
  <c r="G32" i="5" s="1"/>
  <c r="G20" i="5"/>
  <c r="M28" i="7"/>
  <c r="L23" i="7"/>
  <c r="L28" i="7"/>
  <c r="K23" i="7"/>
  <c r="K28" i="7"/>
  <c r="M16" i="7"/>
  <c r="M8" i="7"/>
  <c r="K16" i="7"/>
  <c r="K8" i="7"/>
  <c r="B186" i="1"/>
  <c r="I55" i="2"/>
  <c r="B58" i="2"/>
  <c r="B69" i="2" s="1"/>
  <c r="B80" i="2" s="1"/>
  <c r="B91" i="2" s="1"/>
  <c r="G69" i="2"/>
  <c r="I80" i="2"/>
  <c r="G86" i="2"/>
  <c r="K91" i="2"/>
  <c r="Q26" i="5"/>
  <c r="L26" i="6"/>
  <c r="M9" i="7"/>
  <c r="L9" i="7"/>
  <c r="K9" i="7"/>
  <c r="G12" i="7"/>
  <c r="I12" i="7" s="1"/>
  <c r="J12" i="7" s="1"/>
  <c r="N22" i="8"/>
  <c r="B30" i="9"/>
  <c r="B33" i="9" s="1"/>
  <c r="B21" i="9"/>
  <c r="B22" i="9" s="1"/>
  <c r="P21" i="10"/>
  <c r="P27" i="10"/>
  <c r="P20" i="10"/>
  <c r="D137" i="1"/>
  <c r="B187" i="1"/>
  <c r="G43" i="2"/>
  <c r="G58" i="2"/>
  <c r="G59" i="2" s="1"/>
  <c r="I69" i="2"/>
  <c r="G75" i="2"/>
  <c r="G81" i="2" s="1"/>
  <c r="K80" i="2"/>
  <c r="I86" i="2"/>
  <c r="N91" i="2"/>
  <c r="K26" i="5"/>
  <c r="K21" i="5"/>
  <c r="K22" i="5" s="1"/>
  <c r="K29" i="5" s="1"/>
  <c r="K32" i="5" s="1"/>
  <c r="K20" i="5"/>
  <c r="M18" i="6"/>
  <c r="K6" i="7"/>
  <c r="D9" i="7"/>
  <c r="E9" i="7" s="1"/>
  <c r="F9" i="7" s="1"/>
  <c r="G9" i="7" s="1"/>
  <c r="I9" i="7" s="1"/>
  <c r="J9" i="7" s="1"/>
  <c r="G16" i="7"/>
  <c r="I16" i="7" s="1"/>
  <c r="J16" i="7" s="1"/>
  <c r="G22" i="7"/>
  <c r="I22" i="7" s="1"/>
  <c r="J22" i="7" s="1"/>
  <c r="M26" i="7"/>
  <c r="L26" i="7"/>
  <c r="K26" i="7"/>
  <c r="D26" i="7"/>
  <c r="E26" i="7" s="1"/>
  <c r="F26" i="7" s="1"/>
  <c r="G26" i="7" s="1"/>
  <c r="I26" i="7" s="1"/>
  <c r="J26" i="7" s="1"/>
  <c r="P33" i="8"/>
  <c r="C20" i="9"/>
  <c r="C27" i="9"/>
  <c r="B53" i="2"/>
  <c r="B64" i="2" s="1"/>
  <c r="B75" i="2" s="1"/>
  <c r="B86" i="2" s="1"/>
  <c r="N55" i="2"/>
  <c r="I58" i="2"/>
  <c r="G64" i="2"/>
  <c r="K69" i="2"/>
  <c r="I75" i="2"/>
  <c r="N80" i="2"/>
  <c r="K86" i="2"/>
  <c r="G89" i="2"/>
  <c r="L26" i="5"/>
  <c r="L21" i="5"/>
  <c r="L20" i="5"/>
  <c r="N20" i="5"/>
  <c r="M10" i="6"/>
  <c r="D10" i="6"/>
  <c r="E10" i="6" s="1"/>
  <c r="F10" i="6" s="1"/>
  <c r="G10" i="6" s="1"/>
  <c r="I10" i="6" s="1"/>
  <c r="J10" i="6" s="1"/>
  <c r="L10" i="6"/>
  <c r="D6" i="7"/>
  <c r="E6" i="7" s="1"/>
  <c r="F6" i="7" s="1"/>
  <c r="G6" i="7" s="1"/>
  <c r="I6" i="7" s="1"/>
  <c r="J6" i="7" s="1"/>
  <c r="D20" i="9"/>
  <c r="D21" i="9"/>
  <c r="H20" i="9"/>
  <c r="H22" i="9" s="1"/>
  <c r="H30" i="9" s="1"/>
  <c r="H33" i="9" s="1"/>
  <c r="H27" i="9"/>
  <c r="F27" i="10"/>
  <c r="F20" i="10"/>
  <c r="F22" i="10" s="1"/>
  <c r="F30" i="10" s="1"/>
  <c r="F33" i="10" s="1"/>
  <c r="I30" i="10"/>
  <c r="I33" i="10" s="1"/>
  <c r="G53" i="2"/>
  <c r="K58" i="2"/>
  <c r="I64" i="2"/>
  <c r="N69" i="2"/>
  <c r="K75" i="2"/>
  <c r="G78" i="2"/>
  <c r="N86" i="2"/>
  <c r="I89" i="2"/>
  <c r="M20" i="5"/>
  <c r="M22" i="5" s="1"/>
  <c r="M29" i="5" s="1"/>
  <c r="M32" i="5" s="1"/>
  <c r="K10" i="7"/>
  <c r="H20" i="8"/>
  <c r="H27" i="8"/>
  <c r="H21" i="8"/>
  <c r="H22" i="8" s="1"/>
  <c r="H30" i="8" s="1"/>
  <c r="H33" i="8" s="1"/>
  <c r="J20" i="10"/>
  <c r="J21" i="10"/>
  <c r="J27" i="10"/>
  <c r="I53" i="2"/>
  <c r="B56" i="2"/>
  <c r="B67" i="2" s="1"/>
  <c r="B78" i="2" s="1"/>
  <c r="B89" i="2" s="1"/>
  <c r="K64" i="2"/>
  <c r="G67" i="2"/>
  <c r="N75" i="2"/>
  <c r="I78" i="2"/>
  <c r="K89" i="2"/>
  <c r="N26" i="5"/>
  <c r="N21" i="5"/>
  <c r="N22" i="5" s="1"/>
  <c r="N29" i="5" s="1"/>
  <c r="N32" i="5" s="1"/>
  <c r="R20" i="5"/>
  <c r="M13" i="6"/>
  <c r="L13" i="6"/>
  <c r="K13" i="6"/>
  <c r="L16" i="6"/>
  <c r="K16" i="6"/>
  <c r="M16" i="6"/>
  <c r="D16" i="6"/>
  <c r="E16" i="6" s="1"/>
  <c r="F16" i="6" s="1"/>
  <c r="G16" i="6" s="1"/>
  <c r="I16" i="6" s="1"/>
  <c r="J16" i="6" s="1"/>
  <c r="D10" i="7"/>
  <c r="E10" i="7" s="1"/>
  <c r="F10" i="7" s="1"/>
  <c r="G10" i="7" s="1"/>
  <c r="I10" i="7" s="1"/>
  <c r="J10" i="7" s="1"/>
  <c r="L13" i="7"/>
  <c r="K13" i="7"/>
  <c r="E13" i="7"/>
  <c r="F13" i="7" s="1"/>
  <c r="G13" i="7" s="1"/>
  <c r="I13" i="7" s="1"/>
  <c r="J13" i="7" s="1"/>
  <c r="L16" i="7"/>
  <c r="G20" i="7"/>
  <c r="I20" i="7" s="1"/>
  <c r="J20" i="7" s="1"/>
  <c r="J27" i="8"/>
  <c r="J21" i="8"/>
  <c r="J22" i="8" s="1"/>
  <c r="J30" i="8"/>
  <c r="J33" i="8" s="1"/>
  <c r="F20" i="9"/>
  <c r="F21" i="9"/>
  <c r="F27" i="9"/>
  <c r="C22" i="9"/>
  <c r="C30" i="9" s="1"/>
  <c r="C33" i="9" s="1"/>
  <c r="K53" i="2"/>
  <c r="G56" i="2"/>
  <c r="N64" i="2"/>
  <c r="I67" i="2"/>
  <c r="K78" i="2"/>
  <c r="N89" i="2"/>
  <c r="D13" i="6"/>
  <c r="E13" i="6" s="1"/>
  <c r="F13" i="6" s="1"/>
  <c r="G13" i="6" s="1"/>
  <c r="I13" i="6" s="1"/>
  <c r="J13" i="6" s="1"/>
  <c r="D7" i="7"/>
  <c r="E7" i="7" s="1"/>
  <c r="F7" i="7" s="1"/>
  <c r="G7" i="7" s="1"/>
  <c r="I7" i="7" s="1"/>
  <c r="J7" i="7" s="1"/>
  <c r="D27" i="7"/>
  <c r="E27" i="7" s="1"/>
  <c r="F27" i="7" s="1"/>
  <c r="G27" i="7" s="1"/>
  <c r="I27" i="7" s="1"/>
  <c r="J27" i="7" s="1"/>
  <c r="M27" i="7"/>
  <c r="I20" i="8"/>
  <c r="I27" i="8"/>
  <c r="I21" i="8"/>
  <c r="N27" i="8"/>
  <c r="N30" i="8" s="1"/>
  <c r="N33" i="8" s="1"/>
  <c r="N30" i="9"/>
  <c r="N33" i="9" s="1"/>
  <c r="N27" i="9"/>
  <c r="N21" i="9"/>
  <c r="N22" i="9" s="1"/>
  <c r="K11" i="7"/>
  <c r="I56" i="2"/>
  <c r="K67" i="2"/>
  <c r="P24" i="5"/>
  <c r="P25" i="5" s="1"/>
  <c r="P17" i="5"/>
  <c r="L17" i="7"/>
  <c r="M17" i="7"/>
  <c r="K17" i="7"/>
  <c r="G23" i="7"/>
  <c r="I23" i="7" s="1"/>
  <c r="J23" i="7" s="1"/>
  <c r="D33" i="8"/>
  <c r="N20" i="10"/>
  <c r="N21" i="10"/>
  <c r="N22" i="10" s="1"/>
  <c r="N30" i="10" s="1"/>
  <c r="N33" i="10" s="1"/>
  <c r="N27" i="10"/>
  <c r="K7" i="6"/>
  <c r="M24" i="7"/>
  <c r="F25" i="8"/>
  <c r="F26" i="8" s="1"/>
  <c r="F17" i="8"/>
  <c r="O21" i="8"/>
  <c r="O22" i="8" s="1"/>
  <c r="O30" i="8" s="1"/>
  <c r="O33" i="8" s="1"/>
  <c r="J25" i="9"/>
  <c r="J26" i="9" s="1"/>
  <c r="J17" i="9"/>
  <c r="Q20" i="9"/>
  <c r="Q22" i="9" s="1"/>
  <c r="Q30" i="9" s="1"/>
  <c r="Q33" i="9" s="1"/>
  <c r="K17" i="10"/>
  <c r="O25" i="10"/>
  <c r="O26" i="10" s="1"/>
  <c r="K17" i="8"/>
  <c r="P22" i="9"/>
  <c r="P30" i="9" s="1"/>
  <c r="P33" i="9" s="1"/>
  <c r="Q33" i="10"/>
  <c r="M22" i="7"/>
  <c r="L22" i="7"/>
  <c r="K22" i="7"/>
  <c r="L17" i="8"/>
  <c r="O25" i="9"/>
  <c r="O26" i="9" s="1"/>
  <c r="O17" i="9"/>
  <c r="R30" i="9"/>
  <c r="R33" i="9" s="1"/>
  <c r="Q30" i="10"/>
  <c r="Q27" i="10"/>
  <c r="K20" i="7"/>
  <c r="G21" i="8"/>
  <c r="G22" i="8" s="1"/>
  <c r="G30" i="8" s="1"/>
  <c r="G33" i="8" s="1"/>
  <c r="B25" i="9"/>
  <c r="B26" i="9" s="1"/>
  <c r="M27" i="9"/>
  <c r="M21" i="10"/>
  <c r="M22" i="10" s="1"/>
  <c r="M30" i="10" s="1"/>
  <c r="M33" i="10" s="1"/>
  <c r="I17" i="5"/>
  <c r="L20" i="7"/>
  <c r="G27" i="8"/>
  <c r="M21" i="9"/>
  <c r="M22" i="9" s="1"/>
  <c r="M30" i="9" s="1"/>
  <c r="M33" i="9" s="1"/>
  <c r="C25" i="9"/>
  <c r="C26" i="9" s="1"/>
  <c r="B25" i="10"/>
  <c r="B26" i="10" s="1"/>
  <c r="B17" i="10"/>
  <c r="R25" i="10"/>
  <c r="R26" i="10" s="1"/>
  <c r="R17" i="10"/>
  <c r="J17" i="5"/>
  <c r="K21" i="6"/>
  <c r="K12" i="7"/>
  <c r="M20" i="7"/>
  <c r="D25" i="9"/>
  <c r="D26" i="9" s="1"/>
  <c r="Q27" i="9"/>
  <c r="C21" i="10"/>
  <c r="C20" i="10"/>
  <c r="F25" i="10"/>
  <c r="F26" i="10" s="1"/>
  <c r="L21" i="6"/>
  <c r="L12" i="7"/>
  <c r="Q25" i="8"/>
  <c r="Q26" i="8" s="1"/>
  <c r="Q17" i="8"/>
  <c r="F25" i="9"/>
  <c r="F26" i="9" s="1"/>
  <c r="R27" i="9"/>
  <c r="M21" i="6"/>
  <c r="M12" i="7"/>
  <c r="B27" i="8"/>
  <c r="B21" i="8"/>
  <c r="B22" i="8" s="1"/>
  <c r="B30" i="8" s="1"/>
  <c r="B33" i="8" s="1"/>
  <c r="B20" i="8"/>
  <c r="Q21" i="10"/>
  <c r="Q22" i="10" s="1"/>
  <c r="D21" i="7"/>
  <c r="K24" i="7"/>
  <c r="G25" i="10"/>
  <c r="G26" i="10" s="1"/>
  <c r="G17" i="10"/>
  <c r="P20" i="9"/>
  <c r="H20" i="10"/>
  <c r="H22" i="10" s="1"/>
  <c r="H30" i="10" s="1"/>
  <c r="H33" i="10" s="1"/>
  <c r="R17" i="8"/>
  <c r="K17" i="9"/>
  <c r="L20" i="9"/>
  <c r="L22" i="9" s="1"/>
  <c r="L30" i="9" s="1"/>
  <c r="L33" i="9" s="1"/>
  <c r="N59" i="2" l="1"/>
  <c r="N81" i="2"/>
  <c r="E3" i="3" a="1"/>
  <c r="E3" i="3" s="1"/>
  <c r="K59" i="2"/>
  <c r="L35" i="9"/>
  <c r="L36" i="9"/>
  <c r="L37" i="9" s="1"/>
  <c r="C36" i="9"/>
  <c r="C37" i="9" s="1"/>
  <c r="C35" i="9"/>
  <c r="F36" i="10"/>
  <c r="F37" i="10" s="1"/>
  <c r="F35" i="10"/>
  <c r="H36" i="9"/>
  <c r="H37" i="9" s="1"/>
  <c r="H35" i="9"/>
  <c r="B36" i="9"/>
  <c r="B37" i="9" s="1"/>
  <c r="B35" i="9"/>
  <c r="N36" i="10"/>
  <c r="N37" i="10" s="1"/>
  <c r="N35" i="10"/>
  <c r="K34" i="5"/>
  <c r="K35" i="5"/>
  <c r="K36" i="5" s="1"/>
  <c r="J36" i="8"/>
  <c r="J37" i="8" s="1"/>
  <c r="J35" i="8"/>
  <c r="N35" i="8"/>
  <c r="N36" i="8"/>
  <c r="N37" i="8" s="1"/>
  <c r="N35" i="5"/>
  <c r="N36" i="5" s="1"/>
  <c r="N34" i="5"/>
  <c r="M34" i="5"/>
  <c r="M35" i="5"/>
  <c r="M36" i="5" s="1"/>
  <c r="M35" i="10"/>
  <c r="M36" i="10"/>
  <c r="M37" i="10" s="1"/>
  <c r="M36" i="9"/>
  <c r="M37" i="9" s="1"/>
  <c r="M35" i="9"/>
  <c r="E35" i="5"/>
  <c r="E36" i="5" s="1"/>
  <c r="E34" i="5"/>
  <c r="B35" i="5"/>
  <c r="B36" i="5" s="1"/>
  <c r="B34" i="5"/>
  <c r="O35" i="8"/>
  <c r="O36" i="8"/>
  <c r="O37" i="8" s="1"/>
  <c r="H35" i="8"/>
  <c r="H36" i="8"/>
  <c r="H37" i="8" s="1"/>
  <c r="H35" i="10"/>
  <c r="H36" i="10"/>
  <c r="H37" i="10" s="1"/>
  <c r="Q35" i="9"/>
  <c r="Q36" i="9"/>
  <c r="Q37" i="9" s="1"/>
  <c r="Q34" i="5"/>
  <c r="Q35" i="5"/>
  <c r="Q36" i="5" s="1"/>
  <c r="O35" i="5"/>
  <c r="O36" i="5" s="1"/>
  <c r="O34" i="5"/>
  <c r="N36" i="9"/>
  <c r="N37" i="9" s="1"/>
  <c r="N35" i="9"/>
  <c r="B36" i="8"/>
  <c r="B37" i="8" s="1"/>
  <c r="B35" i="8"/>
  <c r="G34" i="5"/>
  <c r="G35" i="5"/>
  <c r="G36" i="5" s="1"/>
  <c r="G35" i="8"/>
  <c r="G36" i="8"/>
  <c r="G37" i="8" s="1"/>
  <c r="N92" i="2"/>
  <c r="J26" i="5"/>
  <c r="J21" i="5"/>
  <c r="J20" i="5"/>
  <c r="F22" i="9"/>
  <c r="F30" i="9" s="1"/>
  <c r="F33" i="9" s="1"/>
  <c r="L19" i="7"/>
  <c r="L25" i="7"/>
  <c r="G38" i="9"/>
  <c r="G39" i="9"/>
  <c r="G40" i="9" s="1"/>
  <c r="C22" i="5"/>
  <c r="C29" i="5" s="1"/>
  <c r="C32" i="5" s="1"/>
  <c r="A227" i="1"/>
  <c r="F22" i="5"/>
  <c r="F29" i="5" s="1"/>
  <c r="F32" i="5" s="1"/>
  <c r="B229" i="1"/>
  <c r="A229" i="1" s="1"/>
  <c r="Q27" i="8"/>
  <c r="Q21" i="8"/>
  <c r="Q22" i="8" s="1"/>
  <c r="Q30" i="8" s="1"/>
  <c r="Q33" i="8" s="1"/>
  <c r="Q20" i="8"/>
  <c r="P35" i="9"/>
  <c r="P36" i="9"/>
  <c r="P37" i="9" s="1"/>
  <c r="D22" i="9"/>
  <c r="D30" i="9" s="1"/>
  <c r="D33" i="9" s="1"/>
  <c r="K15" i="7"/>
  <c r="I81" i="2"/>
  <c r="P26" i="5"/>
  <c r="P21" i="5"/>
  <c r="P20" i="5"/>
  <c r="D39" i="10"/>
  <c r="D40" i="10" s="1"/>
  <c r="D38" i="10"/>
  <c r="M15" i="7"/>
  <c r="K18" i="7"/>
  <c r="Q36" i="10"/>
  <c r="Q37" i="10" s="1"/>
  <c r="Q35" i="10"/>
  <c r="B27" i="10"/>
  <c r="B21" i="10"/>
  <c r="B20" i="10"/>
  <c r="J22" i="10"/>
  <c r="J30" i="10" s="1"/>
  <c r="J33" i="10" s="1"/>
  <c r="M19" i="7"/>
  <c r="M11" i="7"/>
  <c r="L18" i="7"/>
  <c r="R22" i="5"/>
  <c r="R29" i="5" s="1"/>
  <c r="R32" i="5" s="1"/>
  <c r="L30" i="10"/>
  <c r="L33" i="10" s="1"/>
  <c r="K27" i="9"/>
  <c r="K21" i="9"/>
  <c r="K20" i="9"/>
  <c r="M6" i="7"/>
  <c r="M18" i="7"/>
  <c r="O22" i="10"/>
  <c r="O30" i="10" s="1"/>
  <c r="O33" i="10" s="1"/>
  <c r="G63" i="2"/>
  <c r="K68" i="2"/>
  <c r="N66" i="2"/>
  <c r="M35" i="2"/>
  <c r="K66" i="2"/>
  <c r="K35" i="2"/>
  <c r="I66" i="2"/>
  <c r="N63" i="2"/>
  <c r="I35" i="2"/>
  <c r="G66" i="2"/>
  <c r="N68" i="2"/>
  <c r="I63" i="2"/>
  <c r="G68" i="2"/>
  <c r="K65" i="2"/>
  <c r="N67" i="2"/>
  <c r="N65" i="2"/>
  <c r="I65" i="2"/>
  <c r="I68" i="2"/>
  <c r="E21" i="7"/>
  <c r="F21" i="7" s="1"/>
  <c r="G21" i="7" s="1"/>
  <c r="I21" i="7" s="1"/>
  <c r="J21" i="7" s="1"/>
  <c r="O6" i="4" s="1" a="1"/>
  <c r="K21" i="7"/>
  <c r="M21" i="7"/>
  <c r="K27" i="8"/>
  <c r="K21" i="8"/>
  <c r="K20" i="8"/>
  <c r="L6" i="7"/>
  <c r="D26" i="5"/>
  <c r="D20" i="5"/>
  <c r="D21" i="5"/>
  <c r="D22" i="5" s="1"/>
  <c r="D29" i="5" s="1"/>
  <c r="D32" i="5" s="1"/>
  <c r="K19" i="7"/>
  <c r="M22" i="8"/>
  <c r="M30" i="8" s="1"/>
  <c r="M33" i="8" s="1"/>
  <c r="R27" i="10"/>
  <c r="R30" i="10" s="1"/>
  <c r="R33" i="10" s="1"/>
  <c r="R21" i="10"/>
  <c r="R22" i="10" s="1"/>
  <c r="R20" i="10"/>
  <c r="L15" i="7"/>
  <c r="R35" i="9"/>
  <c r="R36" i="9"/>
  <c r="R37" i="9" s="1"/>
  <c r="D35" i="8"/>
  <c r="D36" i="8"/>
  <c r="D37" i="8" s="1"/>
  <c r="G27" i="10"/>
  <c r="G21" i="10"/>
  <c r="G22" i="10" s="1"/>
  <c r="G30" i="10" s="1"/>
  <c r="G33" i="10" s="1"/>
  <c r="G20" i="10"/>
  <c r="L21" i="7"/>
  <c r="C22" i="10"/>
  <c r="C30" i="10" s="1"/>
  <c r="C33" i="10" s="1"/>
  <c r="K20" i="10"/>
  <c r="K21" i="10"/>
  <c r="K27" i="10"/>
  <c r="I22" i="8"/>
  <c r="I30" i="8" s="1"/>
  <c r="I33" i="8" s="1"/>
  <c r="I59" i="2"/>
  <c r="G92" i="2"/>
  <c r="G3" i="3" a="1"/>
  <c r="G3" i="3" s="1"/>
  <c r="L11" i="7"/>
  <c r="F27" i="8"/>
  <c r="F21" i="8"/>
  <c r="F20" i="8"/>
  <c r="I26" i="5"/>
  <c r="I21" i="5"/>
  <c r="I22" i="5" s="1"/>
  <c r="I29" i="5" s="1"/>
  <c r="I32" i="5" s="1"/>
  <c r="I20" i="5"/>
  <c r="O27" i="9"/>
  <c r="O21" i="9"/>
  <c r="O20" i="9"/>
  <c r="I36" i="10"/>
  <c r="I37" i="10" s="1"/>
  <c r="I35" i="10"/>
  <c r="P22" i="10"/>
  <c r="P30" i="10" s="1"/>
  <c r="P33" i="10" s="1"/>
  <c r="H26" i="5"/>
  <c r="H21" i="5"/>
  <c r="H22" i="5" s="1"/>
  <c r="H29" i="5"/>
  <c r="H32" i="5" s="1"/>
  <c r="H20" i="5"/>
  <c r="J27" i="9"/>
  <c r="J21" i="9"/>
  <c r="J22" i="9" s="1"/>
  <c r="J30" i="9" s="1"/>
  <c r="J33" i="9" s="1"/>
  <c r="J20" i="9"/>
  <c r="K7" i="7"/>
  <c r="I92" i="2"/>
  <c r="H3" i="3" a="1"/>
  <c r="H3" i="3" s="1"/>
  <c r="R27" i="8"/>
  <c r="R21" i="8"/>
  <c r="R22" i="8" s="1"/>
  <c r="R30" i="8" s="1"/>
  <c r="R33" i="8" s="1"/>
  <c r="R20" i="8"/>
  <c r="L27" i="8"/>
  <c r="L21" i="8"/>
  <c r="L20" i="8"/>
  <c r="K27" i="7"/>
  <c r="L7" i="7"/>
  <c r="L10" i="7"/>
  <c r="P36" i="8"/>
  <c r="P37" i="8" s="1"/>
  <c r="P35" i="8"/>
  <c r="K81" i="2"/>
  <c r="B226" i="1"/>
  <c r="A226" i="1" s="1"/>
  <c r="A225" i="1"/>
  <c r="I27" i="9"/>
  <c r="I20" i="9"/>
  <c r="I21" i="9"/>
  <c r="I22" i="9" s="1"/>
  <c r="I30" i="9" s="1"/>
  <c r="I33" i="9" s="1"/>
  <c r="L27" i="7"/>
  <c r="M7" i="7"/>
  <c r="M10" i="7"/>
  <c r="L22" i="5"/>
  <c r="L29" i="5" s="1"/>
  <c r="L32" i="5" s="1"/>
  <c r="K25" i="7"/>
  <c r="K92" i="2"/>
  <c r="K70" i="2" l="1"/>
  <c r="D34" i="5"/>
  <c r="D35" i="5"/>
  <c r="D36" i="5" s="1"/>
  <c r="I36" i="9"/>
  <c r="I37" i="9" s="1"/>
  <c r="I35" i="9"/>
  <c r="R36" i="10"/>
  <c r="R37" i="10" s="1"/>
  <c r="R35" i="10"/>
  <c r="I34" i="5"/>
  <c r="I35" i="5"/>
  <c r="I36" i="5" s="1"/>
  <c r="J36" i="9"/>
  <c r="J37" i="9" s="1"/>
  <c r="J35" i="9"/>
  <c r="R36" i="8"/>
  <c r="R37" i="8" s="1"/>
  <c r="R35" i="8"/>
  <c r="O16" i="4"/>
  <c r="G12" i="4" s="1"/>
  <c r="O15" i="4"/>
  <c r="G11" i="4" s="1"/>
  <c r="O14" i="4"/>
  <c r="G10" i="4" s="1"/>
  <c r="O13" i="4"/>
  <c r="G9" i="4" s="1"/>
  <c r="O28" i="4"/>
  <c r="G24" i="4" s="1"/>
  <c r="O12" i="4"/>
  <c r="G8" i="4" s="1"/>
  <c r="O27" i="4"/>
  <c r="G23" i="4" s="1"/>
  <c r="O11" i="4"/>
  <c r="G7" i="4" s="1"/>
  <c r="O26" i="4"/>
  <c r="G22" i="4" s="1"/>
  <c r="O10" i="4"/>
  <c r="G6" i="4" s="1"/>
  <c r="O22" i="4"/>
  <c r="G18" i="4" s="1"/>
  <c r="O18" i="4"/>
  <c r="G14" i="4" s="1"/>
  <c r="O19" i="4"/>
  <c r="G15" i="4" s="1"/>
  <c r="O17" i="4"/>
  <c r="G13" i="4" s="1"/>
  <c r="O9" i="4"/>
  <c r="G5" i="4" s="1"/>
  <c r="O8" i="4"/>
  <c r="G4" i="4" s="1"/>
  <c r="O7" i="4"/>
  <c r="G3" i="4" s="1"/>
  <c r="O6" i="4"/>
  <c r="G2" i="4" s="1"/>
  <c r="O24" i="4"/>
  <c r="G20" i="4" s="1"/>
  <c r="O23" i="4"/>
  <c r="G19" i="4" s="1"/>
  <c r="O21" i="4"/>
  <c r="G17" i="4" s="1"/>
  <c r="O20" i="4"/>
  <c r="G16" i="4" s="1"/>
  <c r="O25" i="4"/>
  <c r="G21" i="4" s="1"/>
  <c r="G36" i="10"/>
  <c r="G37" i="10" s="1"/>
  <c r="G35" i="10"/>
  <c r="Q36" i="8"/>
  <c r="Q37" i="8" s="1"/>
  <c r="Q35" i="8"/>
  <c r="J38" i="8"/>
  <c r="J39" i="8"/>
  <c r="J40" i="8" s="1"/>
  <c r="P36" i="10"/>
  <c r="P37" i="10" s="1"/>
  <c r="P35" i="10"/>
  <c r="D39" i="8"/>
  <c r="D40" i="8" s="1"/>
  <c r="D38" i="8"/>
  <c r="B233" i="1"/>
  <c r="J35" i="10"/>
  <c r="J36" i="10"/>
  <c r="J37" i="10" s="1"/>
  <c r="N39" i="9"/>
  <c r="N40" i="9" s="1"/>
  <c r="N38" i="9"/>
  <c r="B37" i="5"/>
  <c r="B38" i="5"/>
  <c r="B39" i="5" s="1"/>
  <c r="H34" i="5"/>
  <c r="H35" i="5"/>
  <c r="H36" i="5" s="1"/>
  <c r="R38" i="9"/>
  <c r="R39" i="9"/>
  <c r="R40" i="9" s="1"/>
  <c r="I70" i="2"/>
  <c r="B22" i="10"/>
  <c r="B30" i="10" s="1"/>
  <c r="B33" i="10" s="1"/>
  <c r="E38" i="5"/>
  <c r="E39" i="5" s="1"/>
  <c r="E37" i="5"/>
  <c r="N39" i="10"/>
  <c r="N40" i="10" s="1"/>
  <c r="N38" i="10"/>
  <c r="O35" i="10"/>
  <c r="O36" i="10"/>
  <c r="O37" i="10" s="1"/>
  <c r="D35" i="9"/>
  <c r="D36" i="9"/>
  <c r="D37" i="9" s="1"/>
  <c r="F35" i="9"/>
  <c r="F36" i="9"/>
  <c r="F37" i="9" s="1"/>
  <c r="O37" i="5"/>
  <c r="O38" i="5"/>
  <c r="O39" i="5" s="1"/>
  <c r="O22" i="9"/>
  <c r="O30" i="9" s="1"/>
  <c r="O33" i="9" s="1"/>
  <c r="P38" i="9"/>
  <c r="P39" i="9"/>
  <c r="P40" i="9" s="1"/>
  <c r="Q37" i="5"/>
  <c r="Q38" i="5"/>
  <c r="Q39" i="5" s="1"/>
  <c r="M39" i="9"/>
  <c r="M40" i="9" s="1"/>
  <c r="M38" i="9"/>
  <c r="B38" i="9"/>
  <c r="B39" i="9"/>
  <c r="B40" i="9" s="1"/>
  <c r="L22" i="8"/>
  <c r="L30" i="8" s="1"/>
  <c r="L33" i="8" s="1"/>
  <c r="P22" i="5"/>
  <c r="P29" i="5" s="1"/>
  <c r="P32" i="5" s="1"/>
  <c r="I36" i="8"/>
  <c r="I37" i="8" s="1"/>
  <c r="I35" i="8"/>
  <c r="M38" i="10"/>
  <c r="M39" i="10"/>
  <c r="M40" i="10" s="1"/>
  <c r="B240" i="1"/>
  <c r="I39" i="10"/>
  <c r="I40" i="10" s="1"/>
  <c r="I38" i="10"/>
  <c r="K22" i="8"/>
  <c r="K30" i="8" s="1"/>
  <c r="K33" i="8" s="1"/>
  <c r="N70" i="2"/>
  <c r="K22" i="9"/>
  <c r="K30" i="9" s="1"/>
  <c r="K33" i="9" s="1"/>
  <c r="Q39" i="10"/>
  <c r="Q40" i="10" s="1"/>
  <c r="Q38" i="10"/>
  <c r="J22" i="5"/>
  <c r="J29" i="5" s="1"/>
  <c r="J32" i="5" s="1"/>
  <c r="Q38" i="9"/>
  <c r="Q39" i="9"/>
  <c r="Q40" i="9" s="1"/>
  <c r="H39" i="9"/>
  <c r="H40" i="9" s="1"/>
  <c r="H38" i="9"/>
  <c r="P6" i="4" a="1"/>
  <c r="M38" i="5"/>
  <c r="M39" i="5" s="1"/>
  <c r="M37" i="5"/>
  <c r="K22" i="10"/>
  <c r="K30" i="10" s="1"/>
  <c r="K33" i="10" s="1"/>
  <c r="B239" i="1"/>
  <c r="H39" i="10"/>
  <c r="H40" i="10" s="1"/>
  <c r="H38" i="10"/>
  <c r="F39" i="10"/>
  <c r="F40" i="10" s="1"/>
  <c r="F38" i="10"/>
  <c r="C34" i="5"/>
  <c r="C35" i="5"/>
  <c r="C36" i="5" s="1"/>
  <c r="G39" i="8"/>
  <c r="G40" i="8" s="1"/>
  <c r="G38" i="8"/>
  <c r="F3" i="3" a="1"/>
  <c r="F3" i="3" s="1"/>
  <c r="G70" i="2"/>
  <c r="B39" i="8"/>
  <c r="B40" i="8" s="1"/>
  <c r="B38" i="8"/>
  <c r="P39" i="8"/>
  <c r="P40" i="8" s="1"/>
  <c r="P38" i="8"/>
  <c r="L34" i="5"/>
  <c r="L35" i="5"/>
  <c r="L36" i="5" s="1"/>
  <c r="C36" i="10"/>
  <c r="C37" i="10" s="1"/>
  <c r="C35" i="10"/>
  <c r="M36" i="8"/>
  <c r="M37" i="8" s="1"/>
  <c r="M35" i="8"/>
  <c r="L35" i="10"/>
  <c r="L36" i="10"/>
  <c r="L37" i="10" s="1"/>
  <c r="A228" i="1"/>
  <c r="B238" i="1" s="1"/>
  <c r="H38" i="8"/>
  <c r="H39" i="8"/>
  <c r="H40" i="8" s="1"/>
  <c r="N37" i="5"/>
  <c r="N38" i="5"/>
  <c r="N39" i="5" s="1"/>
  <c r="C38" i="9"/>
  <c r="C39" i="9"/>
  <c r="C40" i="9" s="1"/>
  <c r="G37" i="5"/>
  <c r="G38" i="5"/>
  <c r="G39" i="5" s="1"/>
  <c r="N38" i="8"/>
  <c r="N39" i="8"/>
  <c r="N40" i="8" s="1"/>
  <c r="L38" i="9"/>
  <c r="L39" i="9"/>
  <c r="L40" i="9" s="1"/>
  <c r="K37" i="5"/>
  <c r="K38" i="5"/>
  <c r="K39" i="5" s="1"/>
  <c r="F22" i="8"/>
  <c r="F30" i="8" s="1"/>
  <c r="F33" i="8" s="1"/>
  <c r="R35" i="5"/>
  <c r="R36" i="5" s="1"/>
  <c r="R34" i="5"/>
  <c r="F35" i="5"/>
  <c r="F36" i="5" s="1"/>
  <c r="F34" i="5"/>
  <c r="O38" i="8"/>
  <c r="O39" i="8"/>
  <c r="O40" i="8" s="1"/>
  <c r="K36" i="8" l="1"/>
  <c r="K37" i="8" s="1"/>
  <c r="K35" i="8"/>
  <c r="R39" i="8"/>
  <c r="R40" i="8" s="1"/>
  <c r="R38" i="8"/>
  <c r="O35" i="9"/>
  <c r="O36" i="9"/>
  <c r="O37" i="9" s="1"/>
  <c r="P39" i="10"/>
  <c r="P40" i="10" s="1"/>
  <c r="P38" i="10"/>
  <c r="J39" i="9"/>
  <c r="J40" i="9" s="1"/>
  <c r="J38" i="9"/>
  <c r="B235" i="1"/>
  <c r="I37" i="5"/>
  <c r="I38" i="5"/>
  <c r="I39" i="5" s="1"/>
  <c r="C39" i="10"/>
  <c r="C40" i="10" s="1"/>
  <c r="C38" i="10"/>
  <c r="L38" i="5"/>
  <c r="L39" i="5" s="1"/>
  <c r="L37" i="5"/>
  <c r="P24" i="4"/>
  <c r="H20" i="4" s="1"/>
  <c r="P8" i="4"/>
  <c r="H4" i="4" s="1"/>
  <c r="P23" i="4"/>
  <c r="H19" i="4" s="1"/>
  <c r="P7" i="4"/>
  <c r="H3" i="4" s="1"/>
  <c r="P22" i="4"/>
  <c r="H18" i="4" s="1"/>
  <c r="P21" i="4"/>
  <c r="H17" i="4" s="1"/>
  <c r="P6" i="4"/>
  <c r="H2" i="4" s="1"/>
  <c r="P20" i="4"/>
  <c r="H16" i="4" s="1"/>
  <c r="P19" i="4"/>
  <c r="H15" i="4" s="1"/>
  <c r="P18" i="4"/>
  <c r="H14" i="4" s="1"/>
  <c r="P14" i="4"/>
  <c r="H10" i="4" s="1"/>
  <c r="P26" i="4"/>
  <c r="H22" i="4" s="1"/>
  <c r="P10" i="4"/>
  <c r="H6" i="4" s="1"/>
  <c r="P28" i="4"/>
  <c r="H24" i="4" s="1"/>
  <c r="P27" i="4"/>
  <c r="H23" i="4" s="1"/>
  <c r="P25" i="4"/>
  <c r="H21" i="4" s="1"/>
  <c r="P17" i="4"/>
  <c r="H13" i="4" s="1"/>
  <c r="P16" i="4"/>
  <c r="H12" i="4" s="1"/>
  <c r="P15" i="4"/>
  <c r="H11" i="4" s="1"/>
  <c r="P13" i="4"/>
  <c r="H9" i="4" s="1"/>
  <c r="P12" i="4"/>
  <c r="H8" i="4" s="1"/>
  <c r="P11" i="4"/>
  <c r="H7" i="4" s="1"/>
  <c r="P9" i="4"/>
  <c r="H5" i="4" s="1"/>
  <c r="F39" i="9"/>
  <c r="F40" i="9" s="1"/>
  <c r="F38" i="9"/>
  <c r="B236" i="1"/>
  <c r="M38" i="8"/>
  <c r="M39" i="8"/>
  <c r="M40" i="8" s="1"/>
  <c r="I38" i="8"/>
  <c r="I39" i="8"/>
  <c r="I40" i="8" s="1"/>
  <c r="H38" i="5"/>
  <c r="H39" i="5" s="1"/>
  <c r="H37" i="5"/>
  <c r="Q39" i="8"/>
  <c r="Q40" i="8" s="1"/>
  <c r="Q38" i="8"/>
  <c r="A213" i="1"/>
  <c r="P35" i="5"/>
  <c r="P36" i="5" s="1"/>
  <c r="P34" i="5"/>
  <c r="D38" i="9"/>
  <c r="D39" i="9"/>
  <c r="D40" i="9" s="1"/>
  <c r="G39" i="10"/>
  <c r="G40" i="10" s="1"/>
  <c r="G38" i="10"/>
  <c r="R39" i="10"/>
  <c r="R40" i="10" s="1"/>
  <c r="R38" i="10"/>
  <c r="K35" i="10"/>
  <c r="K36" i="10"/>
  <c r="K37" i="10" s="1"/>
  <c r="F37" i="5"/>
  <c r="F38" i="5"/>
  <c r="F39" i="5" s="1"/>
  <c r="L35" i="8"/>
  <c r="L36" i="8"/>
  <c r="L37" i="8" s="1"/>
  <c r="B234" i="1"/>
  <c r="A14" i="1" s="1"/>
  <c r="A243" i="1" s="1"/>
  <c r="B237" i="1"/>
  <c r="O38" i="10"/>
  <c r="O39" i="10"/>
  <c r="O40" i="10" s="1"/>
  <c r="I39" i="9"/>
  <c r="I40" i="9" s="1"/>
  <c r="I38" i="9"/>
  <c r="F35" i="8"/>
  <c r="F36" i="8"/>
  <c r="F37" i="8" s="1"/>
  <c r="L38" i="10"/>
  <c r="L39" i="10"/>
  <c r="L40" i="10" s="1"/>
  <c r="C38" i="5"/>
  <c r="C39" i="5" s="1"/>
  <c r="C37" i="5"/>
  <c r="D37" i="5"/>
  <c r="D38" i="5"/>
  <c r="D39" i="5" s="1"/>
  <c r="R37" i="5"/>
  <c r="R38" i="5"/>
  <c r="R39" i="5" s="1"/>
  <c r="J39" i="10"/>
  <c r="J40" i="10" s="1"/>
  <c r="J38" i="10"/>
  <c r="B36" i="10"/>
  <c r="B37" i="10" s="1"/>
  <c r="B35" i="10"/>
  <c r="J34" i="5"/>
  <c r="J35" i="5"/>
  <c r="J36" i="5" s="1"/>
  <c r="K35" i="9"/>
  <c r="K36" i="9"/>
  <c r="K37" i="9" s="1"/>
  <c r="K243" i="1" l="1"/>
  <c r="J243" i="1"/>
  <c r="I243" i="1"/>
  <c r="H243" i="1"/>
  <c r="G243" i="1"/>
  <c r="F243" i="1"/>
  <c r="E243" i="1"/>
  <c r="D243" i="1"/>
  <c r="C243" i="1"/>
  <c r="B243" i="1"/>
  <c r="O243" i="1"/>
  <c r="M243" i="1"/>
  <c r="N243" i="1"/>
  <c r="L243" i="1"/>
  <c r="P243" i="1"/>
  <c r="P37" i="5"/>
  <c r="P38" i="5"/>
  <c r="P39" i="5" s="1"/>
  <c r="O38" i="9"/>
  <c r="O39" i="9"/>
  <c r="O40" i="9" s="1"/>
  <c r="J37" i="5"/>
  <c r="J38" i="5"/>
  <c r="J39" i="5" s="1"/>
  <c r="S6" i="4" s="1" a="1"/>
  <c r="K38" i="9"/>
  <c r="K39" i="9"/>
  <c r="K40" i="9" s="1"/>
  <c r="U6" i="4" s="1" a="1"/>
  <c r="L38" i="8"/>
  <c r="L39" i="8"/>
  <c r="L40" i="8" s="1"/>
  <c r="F39" i="8"/>
  <c r="F40" i="8" s="1"/>
  <c r="T6" i="4" s="1" a="1"/>
  <c r="F38" i="8"/>
  <c r="B39" i="10"/>
  <c r="B40" i="10" s="1"/>
  <c r="V6" i="4" s="1" a="1"/>
  <c r="B38" i="10"/>
  <c r="K38" i="8"/>
  <c r="K39" i="8"/>
  <c r="K40" i="8" s="1"/>
  <c r="K39" i="10"/>
  <c r="K40" i="10" s="1"/>
  <c r="K38" i="10"/>
  <c r="U12" i="4" l="1"/>
  <c r="U11" i="4"/>
  <c r="U10" i="4"/>
  <c r="U9" i="4"/>
  <c r="U8" i="4"/>
  <c r="U7" i="4"/>
  <c r="U22" i="4"/>
  <c r="U18" i="4"/>
  <c r="U14" i="4"/>
  <c r="U19" i="4"/>
  <c r="U21" i="4"/>
  <c r="U20" i="4"/>
  <c r="U16" i="4"/>
  <c r="U15" i="4"/>
  <c r="U13" i="4"/>
  <c r="U6" i="4"/>
  <c r="U17" i="4"/>
  <c r="S16" i="4"/>
  <c r="S15" i="4"/>
  <c r="S14" i="4"/>
  <c r="S13" i="4"/>
  <c r="S12" i="4"/>
  <c r="S11" i="4"/>
  <c r="S10" i="4"/>
  <c r="S22" i="4"/>
  <c r="S18" i="4"/>
  <c r="B14" i="4" s="1"/>
  <c r="L14" i="4" s="1"/>
  <c r="S6" i="4"/>
  <c r="S20" i="4"/>
  <c r="B16" i="4" s="1"/>
  <c r="L16" i="4" s="1"/>
  <c r="S21" i="4"/>
  <c r="B17" i="4" s="1"/>
  <c r="L17" i="4" s="1"/>
  <c r="S17" i="4"/>
  <c r="B13" i="4" s="1"/>
  <c r="L13" i="4" s="1"/>
  <c r="S9" i="4"/>
  <c r="B5" i="4" s="1"/>
  <c r="L5" i="4" s="1"/>
  <c r="S8" i="4"/>
  <c r="B4" i="4" s="1"/>
  <c r="L4" i="4" s="1"/>
  <c r="F137" i="1" s="1"/>
  <c r="AI137" i="1" s="1"/>
  <c r="S7" i="4"/>
  <c r="S19" i="4"/>
  <c r="E58" i="1"/>
  <c r="E59" i="1"/>
  <c r="D59" i="1" s="1"/>
  <c r="V10" i="4"/>
  <c r="V9" i="4"/>
  <c r="V8" i="4"/>
  <c r="V7" i="4"/>
  <c r="V22" i="4"/>
  <c r="V21" i="4"/>
  <c r="V6" i="4"/>
  <c r="V20" i="4"/>
  <c r="V16" i="4"/>
  <c r="V12" i="4"/>
  <c r="V19" i="4"/>
  <c r="V18" i="4"/>
  <c r="V17" i="4"/>
  <c r="V15" i="4"/>
  <c r="V14" i="4"/>
  <c r="V13" i="4"/>
  <c r="V11" i="4"/>
  <c r="T14" i="4"/>
  <c r="T13" i="4"/>
  <c r="T12" i="4"/>
  <c r="T11" i="4"/>
  <c r="T10" i="4"/>
  <c r="T9" i="4"/>
  <c r="T8" i="4"/>
  <c r="T20" i="4"/>
  <c r="T16" i="4"/>
  <c r="T22" i="4"/>
  <c r="T21" i="4"/>
  <c r="T19" i="4"/>
  <c r="T18" i="4"/>
  <c r="T17" i="4"/>
  <c r="T15" i="4"/>
  <c r="T7" i="4"/>
  <c r="T6" i="4"/>
  <c r="F59" i="1"/>
  <c r="F58" i="1"/>
  <c r="G137" i="1" s="1"/>
  <c r="B18" i="4" l="1"/>
  <c r="L18" i="4" s="1"/>
  <c r="B6" i="4"/>
  <c r="L6" i="4" s="1"/>
  <c r="F139" i="1" s="1"/>
  <c r="B7" i="4"/>
  <c r="L7" i="4" s="1"/>
  <c r="B8" i="4"/>
  <c r="L8" i="4" s="1"/>
  <c r="B2" i="4"/>
  <c r="L2" i="4" s="1"/>
  <c r="B9" i="4"/>
  <c r="L9" i="4" s="1"/>
  <c r="B10" i="4"/>
  <c r="L10" i="4" s="1"/>
  <c r="F135" i="1" s="1"/>
  <c r="H137" i="1"/>
  <c r="D58" i="1"/>
  <c r="G136" i="1"/>
  <c r="C68" i="1"/>
  <c r="G134" i="1" s="1"/>
  <c r="B11" i="4"/>
  <c r="L11" i="4" s="1"/>
  <c r="B15" i="4"/>
  <c r="L15" i="4" s="1"/>
  <c r="B12" i="4"/>
  <c r="L12" i="4" s="1"/>
  <c r="F134" i="1" s="1"/>
  <c r="AI134" i="1" s="1"/>
  <c r="B3" i="4"/>
  <c r="L3" i="4" s="1"/>
  <c r="G135" i="1" l="1"/>
  <c r="H135" i="1" s="1"/>
  <c r="AI135" i="1"/>
  <c r="F136" i="1"/>
  <c r="AI136" i="1" s="1"/>
  <c r="F138" i="1"/>
  <c r="H134" i="1"/>
  <c r="AI139" i="1"/>
  <c r="H139" i="1"/>
  <c r="AG139" i="1" s="1"/>
  <c r="AG134" i="1" l="1"/>
  <c r="AG135" i="1" s="1"/>
  <c r="AC88" i="1"/>
  <c r="AC92" i="1"/>
  <c r="AC93" i="1"/>
  <c r="AC90" i="1"/>
  <c r="AC89" i="1"/>
  <c r="AC94" i="1"/>
  <c r="AC91" i="1"/>
  <c r="H136" i="1"/>
  <c r="AG136" i="1" s="1"/>
  <c r="AI138" i="1"/>
  <c r="H138" i="1"/>
  <c r="AG138" i="1" s="1"/>
  <c r="H141" i="1" l="1"/>
  <c r="H143" i="1" s="1"/>
  <c r="H142" i="1"/>
  <c r="AG142" i="1" s="1"/>
  <c r="BB98" i="2"/>
  <c r="B98" i="2" s="1"/>
  <c r="AX98" i="2" s="1"/>
  <c r="BA98" i="2"/>
  <c r="L98" i="2"/>
  <c r="H98" i="2"/>
  <c r="BA97" i="2"/>
  <c r="BB97" i="2"/>
  <c r="B97" i="2" s="1"/>
  <c r="AX97" i="2" s="1"/>
  <c r="L97" i="2"/>
  <c r="BA99" i="2"/>
  <c r="H97" i="2"/>
  <c r="AG137" i="1"/>
  <c r="H99" i="2" s="1"/>
  <c r="L99" i="2" l="1"/>
  <c r="H144" i="1"/>
  <c r="H147" i="1" s="1"/>
  <c r="K12" i="2" s="1"/>
  <c r="AG140" i="1"/>
  <c r="BB99" i="2"/>
  <c r="B99" i="2" s="1"/>
  <c r="AX99" i="2" s="1"/>
  <c r="K93" i="1"/>
  <c r="H92" i="1"/>
  <c r="I89" i="1"/>
  <c r="K90" i="1"/>
  <c r="I94" i="1"/>
  <c r="I91" i="1"/>
  <c r="K88" i="1"/>
  <c r="K92" i="1"/>
  <c r="I93" i="1"/>
  <c r="I92" i="1"/>
  <c r="K91" i="1"/>
  <c r="H88" i="1"/>
  <c r="I90" i="1"/>
  <c r="K94" i="1"/>
  <c r="H94" i="1"/>
  <c r="K89" i="1"/>
  <c r="H93" i="1"/>
  <c r="H91" i="1"/>
  <c r="H90" i="1"/>
  <c r="H89" i="1"/>
  <c r="I88" i="1"/>
  <c r="H100" i="2"/>
  <c r="BA100" i="2"/>
  <c r="AG141" i="1"/>
  <c r="J92" i="1" l="1"/>
  <c r="J91" i="1"/>
  <c r="J93" i="1"/>
  <c r="J94" i="1"/>
  <c r="BA101" i="2"/>
  <c r="L88" i="1"/>
  <c r="E111" i="1"/>
  <c r="F111" i="1"/>
  <c r="D111" i="1"/>
  <c r="J88" i="1"/>
  <c r="D114" i="1"/>
  <c r="L91" i="1"/>
  <c r="F114" i="1"/>
  <c r="E114" i="1"/>
  <c r="F113" i="1"/>
  <c r="E113" i="1"/>
  <c r="L90" i="1"/>
  <c r="D113" i="1"/>
  <c r="E101" i="1"/>
  <c r="F101" i="1"/>
  <c r="D101" i="1"/>
  <c r="J89" i="1"/>
  <c r="L101" i="2"/>
  <c r="F99" i="1"/>
  <c r="E99" i="1"/>
  <c r="D99" i="1"/>
  <c r="D100" i="1"/>
  <c r="F100" i="1"/>
  <c r="E100" i="1"/>
  <c r="F116" i="1"/>
  <c r="E116" i="1"/>
  <c r="D116" i="1"/>
  <c r="L93" i="1"/>
  <c r="BB101" i="2"/>
  <c r="B101" i="2" s="1"/>
  <c r="AX101" i="2" s="1"/>
  <c r="BB100" i="2"/>
  <c r="B100" i="2" s="1"/>
  <c r="AX100" i="2" s="1"/>
  <c r="H101" i="2"/>
  <c r="F112" i="1"/>
  <c r="E112" i="1"/>
  <c r="D112" i="1"/>
  <c r="L89" i="1"/>
  <c r="AG143" i="1"/>
  <c r="H103" i="2" s="1"/>
  <c r="L106" i="2"/>
  <c r="L92" i="1"/>
  <c r="E115" i="1"/>
  <c r="F115" i="1"/>
  <c r="D115" i="1"/>
  <c r="E103" i="1"/>
  <c r="D103" i="1"/>
  <c r="F103" i="1"/>
  <c r="F104" i="1"/>
  <c r="D104" i="1"/>
  <c r="E104" i="1"/>
  <c r="F105" i="1"/>
  <c r="E105" i="1"/>
  <c r="D105" i="1"/>
  <c r="L100" i="2"/>
  <c r="L105" i="2"/>
  <c r="F102" i="1"/>
  <c r="E102" i="1"/>
  <c r="D102" i="1"/>
  <c r="E117" i="1"/>
  <c r="D117" i="1"/>
  <c r="L94" i="1"/>
  <c r="F117" i="1"/>
  <c r="J90" i="1"/>
  <c r="H105" i="2" l="1"/>
  <c r="BA102" i="2"/>
  <c r="B105" i="2"/>
  <c r="L102" i="2"/>
  <c r="B104" i="2"/>
  <c r="AX104" i="2" s="1"/>
  <c r="F106" i="1"/>
  <c r="J122" i="2" s="1"/>
  <c r="M95" i="1"/>
  <c r="BB102" i="2"/>
  <c r="H104" i="2"/>
  <c r="D106" i="1"/>
  <c r="D122" i="2" s="1"/>
  <c r="BB103" i="2"/>
  <c r="BA103" i="2"/>
  <c r="BB105" i="2"/>
  <c r="B106" i="2"/>
  <c r="Q89" i="2"/>
  <c r="Q64" i="2"/>
  <c r="Q75" i="2"/>
  <c r="Q58" i="2"/>
  <c r="Q90" i="2"/>
  <c r="Q86" i="2"/>
  <c r="Q69" i="2"/>
  <c r="Q65" i="2"/>
  <c r="Q80" i="2"/>
  <c r="Q55" i="2"/>
  <c r="Q91" i="2"/>
  <c r="Q66" i="2"/>
  <c r="Q77" i="2"/>
  <c r="Q52" i="2"/>
  <c r="Q88" i="2"/>
  <c r="Q63" i="2"/>
  <c r="Q74" i="2"/>
  <c r="Q57" i="2"/>
  <c r="Q85" i="2"/>
  <c r="Q68" i="2"/>
  <c r="Q79" i="2"/>
  <c r="Q54" i="2"/>
  <c r="Q87" i="2"/>
  <c r="Q67" i="2"/>
  <c r="D118" i="1"/>
  <c r="D126" i="2" s="1"/>
  <c r="Q56" i="2"/>
  <c r="Q53" i="2"/>
  <c r="Q78" i="2"/>
  <c r="Q76" i="2"/>
  <c r="F118" i="1"/>
  <c r="J126" i="2" s="1"/>
  <c r="B102" i="2"/>
  <c r="AX102" i="2" s="1"/>
  <c r="BA105" i="2"/>
  <c r="N95" i="1"/>
  <c r="K16" i="2"/>
  <c r="K15" i="2"/>
  <c r="K17" i="2"/>
  <c r="K14" i="2"/>
  <c r="BA104" i="2"/>
  <c r="BB106" i="2"/>
  <c r="E118" i="1"/>
  <c r="G126" i="2" s="1"/>
  <c r="BA106" i="2"/>
  <c r="H102" i="2"/>
  <c r="L104" i="2"/>
  <c r="H106" i="2"/>
  <c r="L103" i="2"/>
  <c r="E106" i="1"/>
  <c r="G122" i="2" s="1"/>
  <c r="BB104" i="2"/>
  <c r="B103" i="2"/>
  <c r="AX103" i="2" s="1"/>
  <c r="L107" i="2" l="1"/>
  <c r="L110" i="2" s="1"/>
  <c r="Q92" i="2"/>
  <c r="K3" i="3" s="1"/>
  <c r="Q81" i="2"/>
  <c r="L3" i="3" s="1"/>
  <c r="Q70" i="2"/>
  <c r="J3" i="3" s="1"/>
  <c r="Q59" i="2"/>
  <c r="I3" i="3" s="1"/>
</calcChain>
</file>

<file path=xl/sharedStrings.xml><?xml version="1.0" encoding="utf-8"?>
<sst xmlns="http://schemas.openxmlformats.org/spreadsheetml/2006/main" count="799" uniqueCount="363">
  <si>
    <t>DATI GENERALI</t>
  </si>
  <si>
    <t>Regione di appartenenza</t>
  </si>
  <si>
    <t>Puglia</t>
  </si>
  <si>
    <t>Titolo del Progetto</t>
  </si>
  <si>
    <t>sostegno alla gestione sezione primavera</t>
  </si>
  <si>
    <t>Localizzazione</t>
  </si>
  <si>
    <t>Comuni nel Territorio Consorzio  BR4</t>
  </si>
  <si>
    <t>Soggetto attuatore</t>
  </si>
  <si>
    <t xml:space="preserve">Consorzio Ambito BR.4 </t>
  </si>
  <si>
    <t>R.U.P.</t>
  </si>
  <si>
    <t>BUDANO PIERPAOLO</t>
  </si>
  <si>
    <t>N. telefono del RUP</t>
  </si>
  <si>
    <t>0831779207 - 3883441016</t>
  </si>
  <si>
    <t>Mail del RUP</t>
  </si>
  <si>
    <t>info@ambitomesagne.it</t>
  </si>
  <si>
    <t>Dati</t>
  </si>
  <si>
    <t>Note</t>
  </si>
  <si>
    <t>Tipologia di Servizio</t>
  </si>
  <si>
    <t>Nido / Micro-nido</t>
  </si>
  <si>
    <t>Servizio</t>
  </si>
  <si>
    <t>Sezioni Primavera</t>
  </si>
  <si>
    <t>DESCRIZIONE DELL'INTERVENTO DA FINANZIARE</t>
  </si>
  <si>
    <t>Descrizione del servizio</t>
  </si>
  <si>
    <t>Gestione Sezione Primavera</t>
  </si>
  <si>
    <t>Estremi dell'eventuale regolamentazione a livello di ambito/distretto e/o a livello di Comune</t>
  </si>
  <si>
    <t>Regolamento regionale R.R. 4/2007 E SS.MM.II.</t>
  </si>
  <si>
    <t>Descrizione dell'eventuale regolamentazione a livello di ambito/distretto e/o a livello di comune</t>
  </si>
  <si>
    <t>L'attività è soggetta ad autorizzazione al funzionamento rilasciata prima dell'avvio delle attività contenente la conferma della titolarità e rispettivo aggiornamento del soggetto gestore</t>
  </si>
  <si>
    <t>Estremi del sistema di regolazione della compartecipazione degli utenti</t>
  </si>
  <si>
    <t>Delibera del comune approvata in sede di bilancio di previsione contenente importi da corrispondere in base alle fasce di reddito dell'utenza</t>
  </si>
  <si>
    <t>Descrizione del sistema di regolamentazione della compartecipazione degli utenti</t>
  </si>
  <si>
    <t>le quote sono definite in base all'indicatore  ISEE</t>
  </si>
  <si>
    <t>Modalità di gestione</t>
  </si>
  <si>
    <t>appalto di servizio ex D.lgs 50/2016 e ss.mm.ii. da bandire</t>
  </si>
  <si>
    <t>CCNL applicato</t>
  </si>
  <si>
    <t>CCNL Cooperative</t>
  </si>
  <si>
    <t>CCNL vigente</t>
  </si>
  <si>
    <t>da settembre 2020</t>
  </si>
  <si>
    <t>ELENCO DELLE STRUTTURE PUBBLICHE NELLE QUALI SI INTENDONO REALIZZARE I SERVIZI FINANZIATI CON IL PAC</t>
  </si>
  <si>
    <t>Strutture interessate dall'intervento del Pac</t>
  </si>
  <si>
    <t>n. utenti effettivi per a.s. 2022-2023</t>
  </si>
  <si>
    <t>Erchie</t>
  </si>
  <si>
    <t>San Pietro Vernotico</t>
  </si>
  <si>
    <t>AZIONI PROGRAMMATE CON LA SCHEDA DI INTERVENTO</t>
  </si>
  <si>
    <t>Nome struttura</t>
  </si>
  <si>
    <t>Tipologia di azione finanziata</t>
  </si>
  <si>
    <t>n. utenti sostenuti dal PAC</t>
  </si>
  <si>
    <t>Orario di apertura settimanale</t>
  </si>
  <si>
    <t>gg. Complessive</t>
  </si>
  <si>
    <t>mesi di servizio previsti</t>
  </si>
  <si>
    <t>tariffa media al mese pagata dagli utenti (compartecipazione)</t>
  </si>
  <si>
    <t>Totale</t>
  </si>
  <si>
    <t>distinzione per fasce di età?</t>
  </si>
  <si>
    <t>di cui Lattanti</t>
  </si>
  <si>
    <t>di cui Semi-Divezzi</t>
  </si>
  <si>
    <t>di cui Divezzi</t>
  </si>
  <si>
    <t>lun</t>
  </si>
  <si>
    <t>mart</t>
  </si>
  <si>
    <t>merc</t>
  </si>
  <si>
    <t>gio</t>
  </si>
  <si>
    <t>ven</t>
  </si>
  <si>
    <t>sab</t>
  </si>
  <si>
    <t>dom.</t>
  </si>
  <si>
    <t>Servizio di nuova istituzione/utenti aggiuntivi</t>
  </si>
  <si>
    <t>Si</t>
  </si>
  <si>
    <t>NB: se ci sono gg. In rosso, non si stanno rispettando i requisiti organizzativi del servizio</t>
  </si>
  <si>
    <t>STRUTTURA DEI COSTI</t>
  </si>
  <si>
    <t>ore di servizio</t>
  </si>
  <si>
    <t>Unità di personale a diretto contatto con l'utenza</t>
  </si>
  <si>
    <t>Cuoco</t>
  </si>
  <si>
    <t>Responsabile Amministrativo</t>
  </si>
  <si>
    <t>numero di pasti teorici</t>
  </si>
  <si>
    <t>Costo unitario 
previsto 
per pasto</t>
  </si>
  <si>
    <t>Eventuale quota
del prezzo della 
concessione a 
carico dell'Ente</t>
  </si>
  <si>
    <t>Educatori Professionali</t>
  </si>
  <si>
    <t>Educatori</t>
  </si>
  <si>
    <t>Ausiliari</t>
  </si>
  <si>
    <t>Limite massimo (di unità equivalenti)</t>
  </si>
  <si>
    <t>Unità equivalenti previste</t>
  </si>
  <si>
    <t>E' previsto coordinamento?</t>
  </si>
  <si>
    <t>Inserire l'incidenza percentuale del coordinamento (ore coordinamento/ore tot. Servizio)</t>
  </si>
  <si>
    <t>ore del/dei coordinatore/i</t>
  </si>
  <si>
    <t>Sono previste spese generali</t>
  </si>
  <si>
    <t>Inserire la percentuale di spese generali che si intende applicare</t>
  </si>
  <si>
    <t>Inserire eventuale percentuale aggiuntiva di spese generali che si intende applicare nell'a.s. 2020/2021 in realzione alle misure COVID-19 (max. 2% aggiuntivo)</t>
  </si>
  <si>
    <t>Eventuali economie in termini percentuali sul costo del personale riscontrate  per effetto dell'aggiudicazione (nel caso di gara già bandita ed aggiudicata)</t>
  </si>
  <si>
    <t>Il soggetto che paga i servizi oggetto della scheda di intervento, incassa delle somme dagli utenti in ragione di servizi all'infanzia?</t>
  </si>
  <si>
    <t>No</t>
  </si>
  <si>
    <t>Aliquota IVA applicata</t>
  </si>
  <si>
    <t>DISTRIBUZIONE TEMPORALE DEL SERVIZIO PROGRAMMATA</t>
  </si>
  <si>
    <t>a.s. 2022-2023</t>
  </si>
  <si>
    <t>settembre-dicembre 2022</t>
  </si>
  <si>
    <t>1° semestre 2023</t>
  </si>
  <si>
    <t>luglio 2023</t>
  </si>
  <si>
    <t>Verifica di corrispondenza</t>
  </si>
  <si>
    <t>Costo lordo</t>
  </si>
  <si>
    <t>Spese geneali ex Covid</t>
  </si>
  <si>
    <t>Totale Costo Lordo</t>
  </si>
  <si>
    <t>costo netto senza spese generali ex COVID-19</t>
  </si>
  <si>
    <t>Totale Costo Netto</t>
  </si>
  <si>
    <t>ore servizio covid-19</t>
  </si>
  <si>
    <t>spese generali COVID-19 (NETTO IVA)</t>
  </si>
  <si>
    <t>Totale LORD</t>
  </si>
  <si>
    <t>Totale NETTO</t>
  </si>
  <si>
    <t>Spesa al lordo</t>
  </si>
  <si>
    <t>luglio-agosto 2023</t>
  </si>
  <si>
    <t>Spesa al netto</t>
  </si>
  <si>
    <t>ITER PROCEDURALE E TEMPISTICA</t>
  </si>
  <si>
    <t>Data (mese e anno)</t>
  </si>
  <si>
    <t>Pubblicazione del bando di gara o equivalente (se pertinente)</t>
  </si>
  <si>
    <t>Stipulazione del contratto di affidamento o equivalente (se pertinente)</t>
  </si>
  <si>
    <t>Avvio servizio</t>
  </si>
  <si>
    <t>data prevista conclusione servizio</t>
  </si>
  <si>
    <t>PIANO DELLE SPESE CALCOLATO</t>
  </si>
  <si>
    <t>CCNL Applicato</t>
  </si>
  <si>
    <t>Profilo professionale</t>
  </si>
  <si>
    <t>Parametri</t>
  </si>
  <si>
    <t>Costo orario</t>
  </si>
  <si>
    <t>Costo</t>
  </si>
  <si>
    <t>Coordinatore</t>
  </si>
  <si>
    <t>Educatore Professionale</t>
  </si>
  <si>
    <t xml:space="preserve">Educatore </t>
  </si>
  <si>
    <t>Ausiliario</t>
  </si>
  <si>
    <t>Responsabile amministrativo</t>
  </si>
  <si>
    <t>Pasti</t>
  </si>
  <si>
    <t>quantità</t>
  </si>
  <si>
    <t>Spese generali</t>
  </si>
  <si>
    <t>percentuale</t>
  </si>
  <si>
    <t>Spese generali aggiuntive (ex COVID-19)</t>
  </si>
  <si>
    <t>IVA</t>
  </si>
  <si>
    <t>totale al lordo compartecipazione</t>
  </si>
  <si>
    <t>Eventuale quota del prezzo della concessione a carico dell'Ente</t>
  </si>
  <si>
    <t>Eventuale Compartecipazione degli Utenti</t>
  </si>
  <si>
    <t>totale al netto compartecipazione</t>
  </si>
  <si>
    <t>Calabria</t>
  </si>
  <si>
    <t>Campania</t>
  </si>
  <si>
    <t>Sicilia</t>
  </si>
  <si>
    <t>Servizi integrativi</t>
  </si>
  <si>
    <t>Estensione del periodo di apertura (mensilità aggiuntive)</t>
  </si>
  <si>
    <t>Estensione dell'orario di servizio (maggiore orario settimanale)</t>
  </si>
  <si>
    <t>Sostegno alla gestione di servizi ed utenti già attivati</t>
  </si>
  <si>
    <t>appalto di servizio già aggiudicato</t>
  </si>
  <si>
    <t>gestione diretta</t>
  </si>
  <si>
    <t>concessione da bandire</t>
  </si>
  <si>
    <t>concessione già aggiudicata</t>
  </si>
  <si>
    <t>CCNL EE.LL. (contratti a tempo determinato, co.co.co.)</t>
  </si>
  <si>
    <t>da aprile 2018</t>
  </si>
  <si>
    <t>CCNL EE.LL. (straordinario feriale)</t>
  </si>
  <si>
    <t>Regione</t>
  </si>
  <si>
    <t>Tipologia</t>
  </si>
  <si>
    <t>rapporto educatore D2 per bambino - LATTANTI 3-12 mesi</t>
  </si>
  <si>
    <t>rapporto educatore D2 per bambino - SEMIDIVEZZI 13-24</t>
  </si>
  <si>
    <t>rapporto educatore D2 per bambino - DIVEZZI 25-36</t>
  </si>
  <si>
    <t>media rapporto educatori</t>
  </si>
  <si>
    <t>% educatore d1</t>
  </si>
  <si>
    <t>rapporto ausiliari</t>
  </si>
  <si>
    <t>mesi minimi apertura</t>
  </si>
  <si>
    <t>mesi massima apertura</t>
  </si>
  <si>
    <t>orario minimo giornaliero</t>
  </si>
  <si>
    <t>orario massimo giornaliero</t>
  </si>
  <si>
    <t>giorni minimi a settimana</t>
  </si>
  <si>
    <t>giorni massimi a settimana</t>
  </si>
  <si>
    <t>Centri per bambini e famiglie</t>
  </si>
  <si>
    <t>Spazio Gioco per bambini</t>
  </si>
  <si>
    <t>Spazio Bambini e Bambine</t>
  </si>
  <si>
    <t>Centro per i Bambini e le Famiglie</t>
  </si>
  <si>
    <t>Ludoteca</t>
  </si>
  <si>
    <t>Centro Ludico prima infanzia</t>
  </si>
  <si>
    <t>Scheda di intervento
Tipologia 1 - Sostengo diretto alla gestione di strutture e servizi a titolarità pubblica</t>
  </si>
  <si>
    <t>Tipologia di servizio</t>
  </si>
  <si>
    <t>A. Dati Identificativi</t>
  </si>
  <si>
    <t>a.</t>
  </si>
  <si>
    <t>b.</t>
  </si>
  <si>
    <t>c.</t>
  </si>
  <si>
    <t>d</t>
  </si>
  <si>
    <t>e.</t>
  </si>
  <si>
    <t>f</t>
  </si>
  <si>
    <t>g</t>
  </si>
  <si>
    <t>Importo richiesto</t>
  </si>
  <si>
    <t>di cui</t>
  </si>
  <si>
    <t>B. Dettaglio dell'intervento e risultati attesi</t>
  </si>
  <si>
    <t xml:space="preserve">b. </t>
  </si>
  <si>
    <t>d.</t>
  </si>
  <si>
    <t>f.</t>
  </si>
  <si>
    <t>n. utenti</t>
  </si>
  <si>
    <t>g.</t>
  </si>
  <si>
    <t>Utenti attuali</t>
  </si>
  <si>
    <t>h.</t>
  </si>
  <si>
    <t>Utenti sostenuti dal PAC</t>
  </si>
  <si>
    <t>mensilità</t>
  </si>
  <si>
    <t>ore servizio</t>
  </si>
  <si>
    <t>i.</t>
  </si>
  <si>
    <t>Strutture/servizi finanziati con il PAC</t>
  </si>
  <si>
    <t>utenti attuali
(a.s. 2013/14)</t>
  </si>
  <si>
    <t>Utenti mantenuti PAC</t>
  </si>
  <si>
    <t>Mensilità</t>
  </si>
  <si>
    <t>Risorse PAC</t>
  </si>
  <si>
    <t>utenti</t>
  </si>
  <si>
    <t>a.s. 22/23</t>
  </si>
  <si>
    <t>Utenti aggiuntivi PAC</t>
  </si>
  <si>
    <t>estensione periodo di servizio PAC</t>
  </si>
  <si>
    <t>estensione orario di servizio PAC</t>
  </si>
  <si>
    <t>C. Piano delle spese</t>
  </si>
  <si>
    <t>a. Tipologie di spesa</t>
  </si>
  <si>
    <t>Quantità</t>
  </si>
  <si>
    <t>Totale al lordo compartecipazione</t>
  </si>
  <si>
    <t>Totale al netto compartecipazione</t>
  </si>
  <si>
    <t>D. Iter procedurale e tempistica</t>
  </si>
  <si>
    <t>a.  Pubblicazione del bando di gara o equivalente (se pertinente)</t>
  </si>
  <si>
    <t>b. Stipulazione del contratto di affidamento o equivalente (se pertinente)</t>
  </si>
  <si>
    <t>c. Avvio servizio</t>
  </si>
  <si>
    <t>d. data prevista conclusione servizio</t>
  </si>
  <si>
    <t>E. Cronoprogramma di spesa</t>
  </si>
  <si>
    <t>2° sem 2022</t>
  </si>
  <si>
    <t>1° sem 2023</t>
  </si>
  <si>
    <t>2° sem 2023</t>
  </si>
  <si>
    <t>F. Cronoprogramma di avanzamento del finanziamento</t>
  </si>
  <si>
    <t>Risorse</t>
  </si>
  <si>
    <t>2022-2023 - Utenti</t>
  </si>
  <si>
    <t>2022-2023 - Risorse</t>
  </si>
  <si>
    <t>Tipo Scheda</t>
  </si>
  <si>
    <t>Titolo scheda</t>
  </si>
  <si>
    <t>Tipologia Servizio</t>
  </si>
  <si>
    <t>2020/21-UtentiMantenuti</t>
  </si>
  <si>
    <t>2020/21-UtentiAggiuntivi</t>
  </si>
  <si>
    <t>2020/21-UtentiEstensioneOraria</t>
  </si>
  <si>
    <t>2020/21-UtentiEstensionePerioro</t>
  </si>
  <si>
    <t>2020/21-RisorseMantenuti</t>
  </si>
  <si>
    <t>2020/21-RisorseAggiuntivi</t>
  </si>
  <si>
    <t>2020/21-RisorseEstensioneOraria</t>
  </si>
  <si>
    <t>2020/21-RisorseEstensionePerioro</t>
  </si>
  <si>
    <t>profilo Cooperative</t>
  </si>
  <si>
    <t>costo</t>
  </si>
  <si>
    <t>Profilo Enti Locali</t>
  </si>
  <si>
    <t>costo ordinario</t>
  </si>
  <si>
    <t>costo - straordinario</t>
  </si>
  <si>
    <t>da considerare</t>
  </si>
  <si>
    <t>CCNL di riferimento</t>
  </si>
  <si>
    <t>EELL</t>
  </si>
  <si>
    <t>Coperative</t>
  </si>
  <si>
    <t>A1</t>
  </si>
  <si>
    <t>D6</t>
  </si>
  <si>
    <t>alla data di programmazione iniziale</t>
  </si>
  <si>
    <t>da novembre 2019</t>
  </si>
  <si>
    <t>da aprile 2020</t>
  </si>
  <si>
    <t>A2</t>
  </si>
  <si>
    <t>D5</t>
  </si>
  <si>
    <t>B1</t>
  </si>
  <si>
    <t>D4</t>
  </si>
  <si>
    <t>B1 con i.f.</t>
  </si>
  <si>
    <t>C1</t>
  </si>
  <si>
    <t>D3</t>
  </si>
  <si>
    <t>ordinario</t>
  </si>
  <si>
    <t>straordinario</t>
  </si>
  <si>
    <t>C2</t>
  </si>
  <si>
    <t>D2</t>
  </si>
  <si>
    <t>C3/D1</t>
  </si>
  <si>
    <t>D1</t>
  </si>
  <si>
    <t>C5</t>
  </si>
  <si>
    <t>C3/D1 con i.p.</t>
  </si>
  <si>
    <t>D3/E1</t>
  </si>
  <si>
    <t>C4</t>
  </si>
  <si>
    <t>E2</t>
  </si>
  <si>
    <t>C3</t>
  </si>
  <si>
    <t>D2 con i.p.</t>
  </si>
  <si>
    <t>F1</t>
  </si>
  <si>
    <t>F2</t>
  </si>
  <si>
    <t>B7</t>
  </si>
  <si>
    <t>E2 con i.p.</t>
  </si>
  <si>
    <t>B6</t>
  </si>
  <si>
    <t>B5</t>
  </si>
  <si>
    <t>F1 con i.p.</t>
  </si>
  <si>
    <t>B4</t>
  </si>
  <si>
    <t>B3</t>
  </si>
  <si>
    <t>F2 con i.d.</t>
  </si>
  <si>
    <t>B2</t>
  </si>
  <si>
    <t>A5</t>
  </si>
  <si>
    <t>A4</t>
  </si>
  <si>
    <t>A3</t>
  </si>
  <si>
    <t>TipologiaAliquota IRAP</t>
  </si>
  <si>
    <t>Specifica</t>
  </si>
  <si>
    <t>Aliquota Irap Applicata</t>
  </si>
  <si>
    <t>Indennità di turno</t>
  </si>
  <si>
    <t>Numero ore annuali lavorate</t>
  </si>
  <si>
    <t>Livelli</t>
  </si>
  <si>
    <t>Minimi contr.li conglobati mensili</t>
  </si>
  <si>
    <t>Anzianità (tre scatti)</t>
  </si>
  <si>
    <t>Indennità professionali</t>
  </si>
  <si>
    <t>Indennità di funzione</t>
  </si>
  <si>
    <t>Altre indennità</t>
  </si>
  <si>
    <t>Lordo Mensile</t>
  </si>
  <si>
    <t>Totale Lordo annuo+ 13esima</t>
  </si>
  <si>
    <t>Oneri</t>
  </si>
  <si>
    <t>Inps (26,90%)</t>
  </si>
  <si>
    <t>Inail (3%)</t>
  </si>
  <si>
    <t>Totale oneri</t>
  </si>
  <si>
    <t>TFR</t>
  </si>
  <si>
    <t>Rivalutazione T.F.R. (3,302885% )</t>
  </si>
  <si>
    <t>Previdenza complementare (1%)</t>
  </si>
  <si>
    <t>Assistenza Sanitaria Integrativa</t>
  </si>
  <si>
    <t>Costo Annuo</t>
  </si>
  <si>
    <t>Totale costo annuo</t>
  </si>
  <si>
    <t>imponibile irap</t>
  </si>
  <si>
    <t>imponibile irap orario</t>
  </si>
  <si>
    <t>Irap</t>
  </si>
  <si>
    <t>Totale costo orario</t>
  </si>
  <si>
    <t>indennità di turno</t>
  </si>
  <si>
    <t>valore buoni pasto</t>
  </si>
  <si>
    <t>gg/mese buoni pasto</t>
  </si>
  <si>
    <t>CCNL Enti LOCALI</t>
  </si>
  <si>
    <t>COSTO ORARIO</t>
  </si>
  <si>
    <t>Retribuzione
 annua</t>
  </si>
  <si>
    <t>Retribuzione
 Mensile</t>
  </si>
  <si>
    <t>Rateo 13^</t>
  </si>
  <si>
    <t>Rateo Ferie</t>
  </si>
  <si>
    <t>Mensile</t>
  </si>
  <si>
    <t>Buoni pasto</t>
  </si>
  <si>
    <t>Mensile 
all-in</t>
  </si>
  <si>
    <t>Orario</t>
  </si>
  <si>
    <t>Straordinario 
Feriale</t>
  </si>
  <si>
    <t>Straordinario 
Festivo o Notturno</t>
  </si>
  <si>
    <t>Straordinario 
festivo e notturno</t>
  </si>
  <si>
    <t>d6</t>
  </si>
  <si>
    <t>d5</t>
  </si>
  <si>
    <t>d4</t>
  </si>
  <si>
    <t>d3</t>
  </si>
  <si>
    <t>d2</t>
  </si>
  <si>
    <t>d1</t>
  </si>
  <si>
    <t>c5</t>
  </si>
  <si>
    <t>c4</t>
  </si>
  <si>
    <t>c3</t>
  </si>
  <si>
    <t>c2</t>
  </si>
  <si>
    <t>c1</t>
  </si>
  <si>
    <t>b7</t>
  </si>
  <si>
    <t>b6</t>
  </si>
  <si>
    <t>b5</t>
  </si>
  <si>
    <t>b4</t>
  </si>
  <si>
    <t>b3</t>
  </si>
  <si>
    <t>b2</t>
  </si>
  <si>
    <t>b1</t>
  </si>
  <si>
    <t>a5</t>
  </si>
  <si>
    <t>a4</t>
  </si>
  <si>
    <t>a3</t>
  </si>
  <si>
    <t>a2</t>
  </si>
  <si>
    <t>a1</t>
  </si>
  <si>
    <t>COSTO ORARIO (*)</t>
  </si>
  <si>
    <t xml:space="preserve">Orario </t>
  </si>
  <si>
    <t>da nuovo ccnl</t>
  </si>
  <si>
    <t>D7</t>
  </si>
  <si>
    <t>C6</t>
  </si>
  <si>
    <t>B8</t>
  </si>
  <si>
    <t>A6</t>
  </si>
  <si>
    <t>(*) da art. 10 del ccnl 9/5/2006, un mese è fatto da 156 ore</t>
  </si>
  <si>
    <t>Oneri riflessi</t>
  </si>
  <si>
    <t>CPDEL</t>
  </si>
  <si>
    <t>Inail</t>
  </si>
  <si>
    <t>Inadel (3,60% su 80% retribuzione) -TFS</t>
  </si>
  <si>
    <t>Inps (27,33%)</t>
  </si>
  <si>
    <t>Oneri per la sciurezza</t>
  </si>
  <si>
    <t>Rivalutazione T.F.R. (2,2418% ) * stimata su 6 anni</t>
  </si>
  <si>
    <t>Previdenza complementare (1,5%)</t>
  </si>
  <si>
    <t>Irap forfettaria al 3,9%</t>
  </si>
  <si>
    <t>Rivalutazione T.F.R. (1,8673% ) * stimata su 6 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</si>
</sst>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&quot;€ &quot;#,##0.00;[Red]&quot;-€ &quot;#,##0.00"/>
    <numFmt numFmtId="165" formatCode="0&quot; ore di cordinamento&quot;"/>
    <numFmt numFmtId="166" formatCode="0.00&quot; ore/sett/utente&quot;"/>
    <numFmt numFmtId="167" formatCode="&quot;max &quot;0&quot; mesi&quot;"/>
    <numFmt numFmtId="168" formatCode="0.00&quot; mesi di servizio&quot;"/>
    <numFmt numFmtId="169" formatCode="mmm\-yyyy"/>
    <numFmt numFmtId="170" formatCode="0.000"/>
    <numFmt numFmtId="171" formatCode="0&quot; hh&quot;"/>
    <numFmt numFmtId="172" formatCode="0&quot; gg&quot;"/>
    <numFmt numFmtId="173" formatCode="_-&quot;€ &quot;* #,##0.00_-;&quot;-€ &quot;* #,##0.00_-;_-&quot;€ &quot;* \-??_-;_-@_-"/>
    <numFmt numFmtId="174" formatCode="#,##0.0000"/>
    <numFmt numFmtId="175" formatCode="#,##0.00000"/>
  </numFmts>
  <fonts count="15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i/>
      <sz val="11"/>
      <color rgb="FF000000"/>
      <name val="Calibri"/>
      <family val="2"/>
      <charset val="1"/>
    </font>
    <font>
      <b/>
      <strike/>
      <sz val="11"/>
      <color rgb="FF000000"/>
      <name val="Calibri"/>
      <family val="2"/>
      <charset val="1"/>
    </font>
    <font>
      <strike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trike/>
      <sz val="11"/>
      <color rgb="FFFF0000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9"/>
      <color rgb="FF000000"/>
      <name val="Times New Roman"/>
      <family val="1"/>
      <charset val="1"/>
    </font>
    <font>
      <sz val="9"/>
      <color rgb="FF000000"/>
      <name val="Arial"/>
      <family val="2"/>
      <charset val="1"/>
    </font>
    <font>
      <sz val="8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rgb="FFBFBFBF"/>
        <bgColor rgb="FFCCC1DA"/>
      </patternFill>
    </fill>
    <fill>
      <patternFill patternType="solid">
        <fgColor rgb="FFFFCC00"/>
        <bgColor rgb="FFFFC000"/>
      </patternFill>
    </fill>
    <fill>
      <patternFill patternType="solid">
        <fgColor rgb="FFFFC000"/>
        <bgColor rgb="FFFFCC00"/>
      </patternFill>
    </fill>
    <fill>
      <patternFill patternType="solid">
        <fgColor rgb="FF000000"/>
        <bgColor rgb="FF00330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969696"/>
        <bgColor rgb="FF808080"/>
      </patternFill>
    </fill>
    <fill>
      <patternFill patternType="solid">
        <fgColor rgb="FFD9D9D9"/>
        <bgColor rgb="FFB7DEE8"/>
      </patternFill>
    </fill>
    <fill>
      <patternFill patternType="solid">
        <fgColor rgb="FFB7DEE8"/>
        <bgColor rgb="FFD9D9D9"/>
      </patternFill>
    </fill>
    <fill>
      <patternFill patternType="solid">
        <fgColor rgb="FFC3D69B"/>
        <bgColor rgb="FFBFBFBF"/>
      </patternFill>
    </fill>
    <fill>
      <patternFill patternType="solid">
        <fgColor rgb="FFCCC1DA"/>
        <bgColor rgb="FFBFBFBF"/>
      </patternFill>
    </fill>
    <fill>
      <patternFill patternType="solid">
        <fgColor rgb="FF33CCCC"/>
        <bgColor rgb="FF00CCFF"/>
      </patternFill>
    </fill>
    <fill>
      <patternFill patternType="solid">
        <fgColor rgb="FF00CCFF"/>
        <bgColor rgb="FF33CCCC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7">
    <xf numFmtId="0" fontId="0" fillId="0" borderId="0"/>
    <xf numFmtId="173" fontId="14" fillId="0" borderId="0" applyBorder="0" applyProtection="0"/>
    <xf numFmtId="0" fontId="14" fillId="0" borderId="0" applyBorder="0" applyProtection="0"/>
    <xf numFmtId="0" fontId="1" fillId="0" borderId="0"/>
    <xf numFmtId="9" fontId="14" fillId="0" borderId="0" applyBorder="0" applyProtection="0"/>
    <xf numFmtId="9" fontId="14" fillId="0" borderId="0" applyBorder="0" applyProtection="0"/>
    <xf numFmtId="0" fontId="14" fillId="0" borderId="0" applyBorder="0" applyProtection="0"/>
  </cellStyleXfs>
  <cellXfs count="350">
    <xf numFmtId="0" fontId="0" fillId="0" borderId="0" xfId="0"/>
    <xf numFmtId="0" fontId="2" fillId="0" borderId="3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 wrapText="1"/>
    </xf>
    <xf numFmtId="0" fontId="2" fillId="0" borderId="0" xfId="0" applyFont="1" applyAlignment="1">
      <alignment vertical="top"/>
    </xf>
    <xf numFmtId="0" fontId="0" fillId="0" borderId="1" xfId="0" applyBorder="1" applyAlignment="1">
      <alignment vertical="top"/>
    </xf>
    <xf numFmtId="0" fontId="0" fillId="3" borderId="2" xfId="0" applyFill="1" applyBorder="1" applyAlignment="1" applyProtection="1">
      <alignment vertical="top"/>
      <protection locked="0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 applyAlignment="1" applyProtection="1">
      <alignment vertical="top" wrapText="1"/>
      <protection locked="0"/>
    </xf>
    <xf numFmtId="3" fontId="0" fillId="4" borderId="1" xfId="0" applyNumberFormat="1" applyFill="1" applyBorder="1" applyAlignment="1" applyProtection="1">
      <alignment vertical="top" wrapText="1"/>
      <protection locked="0"/>
    </xf>
    <xf numFmtId="0" fontId="2" fillId="2" borderId="0" xfId="0" applyFont="1" applyFill="1" applyAlignment="1">
      <alignment vertical="top" wrapText="1"/>
    </xf>
    <xf numFmtId="0" fontId="0" fillId="3" borderId="1" xfId="0" applyFill="1" applyBorder="1" applyAlignment="1" applyProtection="1">
      <alignment vertical="top"/>
      <protection locked="0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2" xfId="0" applyFill="1" applyBorder="1" applyAlignment="1" applyProtection="1">
      <alignment vertical="top" wrapText="1"/>
      <protection locked="0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4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/>
      <protection locked="0"/>
    </xf>
    <xf numFmtId="0" fontId="0" fillId="3" borderId="4" xfId="0" applyFill="1" applyBorder="1" applyAlignment="1" applyProtection="1">
      <alignment vertical="top" wrapText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5" xfId="0" applyBorder="1" applyAlignment="1" applyProtection="1">
      <alignment vertical="top"/>
      <protection locked="0"/>
    </xf>
    <xf numFmtId="0" fontId="2" fillId="0" borderId="1" xfId="0" applyFont="1" applyBorder="1" applyAlignment="1">
      <alignment horizontal="center" vertical="top" wrapText="1"/>
    </xf>
    <xf numFmtId="0" fontId="0" fillId="0" borderId="7" xfId="0" applyBorder="1" applyAlignment="1">
      <alignment vertical="top"/>
    </xf>
    <xf numFmtId="0" fontId="4" fillId="0" borderId="0" xfId="0" applyFont="1" applyAlignment="1">
      <alignment vertical="top"/>
    </xf>
    <xf numFmtId="0" fontId="4" fillId="0" borderId="8" xfId="0" applyFont="1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9" xfId="0" applyBorder="1" applyAlignment="1" applyProtection="1">
      <alignment vertical="top"/>
      <protection locked="0"/>
    </xf>
    <xf numFmtId="0" fontId="0" fillId="0" borderId="1" xfId="0" applyBorder="1" applyAlignment="1" applyProtection="1">
      <alignment vertical="top"/>
      <protection locked="0"/>
    </xf>
    <xf numFmtId="0" fontId="0" fillId="5" borderId="1" xfId="0" applyFill="1" applyBorder="1" applyAlignment="1" applyProtection="1">
      <alignment vertical="top"/>
      <protection locked="0"/>
    </xf>
    <xf numFmtId="0" fontId="0" fillId="5" borderId="11" xfId="0" applyFill="1" applyBorder="1" applyAlignment="1" applyProtection="1">
      <alignment vertical="top"/>
      <protection locked="0"/>
    </xf>
    <xf numFmtId="0" fontId="0" fillId="0" borderId="10" xfId="0" applyBorder="1" applyAlignment="1" applyProtection="1">
      <alignment vertical="top"/>
      <protection locked="0"/>
    </xf>
    <xf numFmtId="164" fontId="0" fillId="0" borderId="1" xfId="0" applyNumberFormat="1" applyBorder="1" applyAlignment="1" applyProtection="1">
      <alignment vertical="top"/>
      <protection locked="0"/>
    </xf>
    <xf numFmtId="0" fontId="0" fillId="0" borderId="12" xfId="0" applyBorder="1" applyAlignment="1" applyProtection="1">
      <alignment vertical="top"/>
      <protection locked="0"/>
    </xf>
    <xf numFmtId="0" fontId="0" fillId="5" borderId="13" xfId="0" applyFill="1" applyBorder="1" applyAlignment="1" applyProtection="1">
      <alignment vertical="top"/>
      <protection locked="0"/>
    </xf>
    <xf numFmtId="0" fontId="0" fillId="5" borderId="14" xfId="0" applyFill="1" applyBorder="1" applyAlignment="1" applyProtection="1">
      <alignment vertical="top"/>
      <protection locked="0"/>
    </xf>
    <xf numFmtId="0" fontId="0" fillId="0" borderId="13" xfId="0" applyBorder="1" applyAlignment="1" applyProtection="1">
      <alignment vertical="top"/>
      <protection locked="0"/>
    </xf>
    <xf numFmtId="0" fontId="0" fillId="0" borderId="15" xfId="0" applyBorder="1" applyAlignment="1" applyProtection="1">
      <alignment vertical="top"/>
      <protection locked="0"/>
    </xf>
    <xf numFmtId="0" fontId="0" fillId="0" borderId="16" xfId="0" applyBorder="1" applyAlignment="1">
      <alignment vertical="top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6" borderId="1" xfId="0" applyFill="1" applyBorder="1" applyAlignment="1">
      <alignment vertical="top" wrapText="1"/>
    </xf>
    <xf numFmtId="4" fontId="0" fillId="6" borderId="10" xfId="0" applyNumberFormat="1" applyFill="1" applyBorder="1" applyAlignment="1">
      <alignment vertical="top"/>
    </xf>
    <xf numFmtId="0" fontId="0" fillId="0" borderId="11" xfId="0" applyBorder="1" applyAlignment="1">
      <alignment vertical="top"/>
    </xf>
    <xf numFmtId="0" fontId="0" fillId="0" borderId="11" xfId="0" applyBorder="1" applyAlignment="1" applyProtection="1">
      <alignment vertical="top"/>
      <protection locked="0"/>
    </xf>
    <xf numFmtId="0" fontId="0" fillId="6" borderId="9" xfId="0" applyFill="1" applyBorder="1" applyAlignment="1">
      <alignment vertical="top"/>
    </xf>
    <xf numFmtId="164" fontId="0" fillId="0" borderId="11" xfId="0" applyNumberFormat="1" applyBorder="1" applyAlignment="1" applyProtection="1">
      <alignment vertical="top"/>
      <protection locked="0"/>
    </xf>
    <xf numFmtId="164" fontId="6" fillId="0" borderId="4" xfId="0" applyNumberFormat="1" applyFont="1" applyBorder="1" applyAlignment="1" applyProtection="1">
      <alignment vertical="top"/>
      <protection locked="0"/>
    </xf>
    <xf numFmtId="0" fontId="0" fillId="0" borderId="12" xfId="0" applyBorder="1" applyAlignment="1">
      <alignment vertical="top"/>
    </xf>
    <xf numFmtId="0" fontId="0" fillId="0" borderId="14" xfId="0" applyBorder="1" applyAlignment="1" applyProtection="1">
      <alignment vertical="top"/>
      <protection locked="0"/>
    </xf>
    <xf numFmtId="0" fontId="0" fillId="6" borderId="12" xfId="0" applyFill="1" applyBorder="1" applyAlignment="1">
      <alignment vertical="top"/>
    </xf>
    <xf numFmtId="164" fontId="0" fillId="0" borderId="14" xfId="0" applyNumberFormat="1" applyBorder="1" applyAlignment="1" applyProtection="1">
      <alignment vertical="top"/>
      <protection locked="0"/>
    </xf>
    <xf numFmtId="164" fontId="6" fillId="0" borderId="5" xfId="0" applyNumberFormat="1" applyFont="1" applyBorder="1" applyAlignment="1" applyProtection="1">
      <alignment vertical="top"/>
      <protection locked="0"/>
    </xf>
    <xf numFmtId="0" fontId="0" fillId="3" borderId="2" xfId="0" applyFill="1" applyBorder="1" applyAlignment="1" applyProtection="1">
      <alignment horizontal="center" vertical="top"/>
      <protection locked="0"/>
    </xf>
    <xf numFmtId="0" fontId="0" fillId="0" borderId="1" xfId="0" applyBorder="1" applyAlignment="1">
      <alignment vertical="top" wrapText="1"/>
    </xf>
    <xf numFmtId="10" fontId="0" fillId="3" borderId="20" xfId="0" applyNumberFormat="1" applyFill="1" applyBorder="1" applyAlignment="1" applyProtection="1">
      <alignment vertical="top"/>
      <protection locked="0"/>
    </xf>
    <xf numFmtId="0" fontId="3" fillId="0" borderId="2" xfId="0" applyFont="1" applyBorder="1" applyAlignment="1">
      <alignment vertical="top" wrapText="1"/>
    </xf>
    <xf numFmtId="165" fontId="0" fillId="6" borderId="2" xfId="0" applyNumberFormat="1" applyFill="1" applyBorder="1" applyAlignment="1">
      <alignment vertical="top"/>
    </xf>
    <xf numFmtId="9" fontId="0" fillId="3" borderId="2" xfId="0" applyNumberFormat="1" applyFill="1" applyBorder="1" applyAlignment="1" applyProtection="1">
      <alignment horizontal="center" vertical="top"/>
      <protection locked="0"/>
    </xf>
    <xf numFmtId="0" fontId="7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/>
    </xf>
    <xf numFmtId="164" fontId="2" fillId="0" borderId="0" xfId="0" applyNumberFormat="1" applyFont="1" applyAlignment="1">
      <alignment vertical="top"/>
    </xf>
    <xf numFmtId="0" fontId="6" fillId="0" borderId="1" xfId="0" applyFont="1" applyBorder="1" applyAlignment="1">
      <alignment vertical="top" wrapText="1"/>
    </xf>
    <xf numFmtId="9" fontId="6" fillId="6" borderId="1" xfId="0" applyNumberFormat="1" applyFont="1" applyFill="1" applyBorder="1" applyAlignment="1" applyProtection="1">
      <alignment vertical="top"/>
      <protection locked="0"/>
    </xf>
    <xf numFmtId="0" fontId="8" fillId="0" borderId="1" xfId="0" applyFont="1" applyBorder="1" applyAlignment="1">
      <alignment vertical="top" wrapText="1"/>
    </xf>
    <xf numFmtId="166" fontId="0" fillId="0" borderId="0" xfId="0" applyNumberFormat="1" applyAlignment="1">
      <alignment vertical="top"/>
    </xf>
    <xf numFmtId="9" fontId="0" fillId="3" borderId="2" xfId="0" applyNumberFormat="1" applyFill="1" applyBorder="1" applyAlignment="1" applyProtection="1">
      <alignment vertical="top"/>
      <protection locked="0"/>
    </xf>
    <xf numFmtId="0" fontId="2" fillId="7" borderId="0" xfId="0" applyFont="1" applyFill="1" applyAlignment="1">
      <alignment vertical="top"/>
    </xf>
    <xf numFmtId="0" fontId="0" fillId="7" borderId="0" xfId="0" applyFill="1" applyAlignment="1">
      <alignment vertical="top"/>
    </xf>
    <xf numFmtId="0" fontId="2" fillId="0" borderId="21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167" fontId="2" fillId="0" borderId="9" xfId="0" applyNumberFormat="1" applyFont="1" applyBorder="1" applyAlignment="1">
      <alignment horizontal="center" vertical="top"/>
    </xf>
    <xf numFmtId="167" fontId="2" fillId="0" borderId="1" xfId="0" applyNumberFormat="1" applyFont="1" applyBorder="1" applyAlignment="1">
      <alignment horizontal="center" vertical="top"/>
    </xf>
    <xf numFmtId="167" fontId="2" fillId="0" borderId="11" xfId="0" applyNumberFormat="1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168" fontId="0" fillId="0" borderId="9" xfId="0" applyNumberFormat="1" applyBorder="1" applyAlignment="1" applyProtection="1">
      <alignment vertical="top"/>
      <protection locked="0"/>
    </xf>
    <xf numFmtId="168" fontId="0" fillId="0" borderId="1" xfId="0" applyNumberFormat="1" applyBorder="1" applyAlignment="1" applyProtection="1">
      <alignment vertical="top"/>
      <protection locked="0"/>
    </xf>
    <xf numFmtId="168" fontId="0" fillId="0" borderId="11" xfId="0" applyNumberFormat="1" applyBorder="1" applyAlignment="1" applyProtection="1">
      <alignment vertical="top"/>
      <protection locked="0"/>
    </xf>
    <xf numFmtId="168" fontId="0" fillId="0" borderId="20" xfId="0" applyNumberFormat="1" applyBorder="1" applyAlignment="1">
      <alignment vertical="top"/>
    </xf>
    <xf numFmtId="164" fontId="0" fillId="0" borderId="1" xfId="0" applyNumberFormat="1" applyBorder="1" applyAlignment="1">
      <alignment vertical="top"/>
    </xf>
    <xf numFmtId="164" fontId="0" fillId="2" borderId="1" xfId="0" applyNumberFormat="1" applyFill="1" applyBorder="1" applyAlignment="1">
      <alignment vertical="top"/>
    </xf>
    <xf numFmtId="168" fontId="0" fillId="0" borderId="12" xfId="0" applyNumberFormat="1" applyBorder="1" applyAlignment="1" applyProtection="1">
      <alignment vertical="top"/>
      <protection locked="0"/>
    </xf>
    <xf numFmtId="168" fontId="0" fillId="0" borderId="13" xfId="0" applyNumberFormat="1" applyBorder="1" applyAlignment="1" applyProtection="1">
      <alignment vertical="top"/>
      <protection locked="0"/>
    </xf>
    <xf numFmtId="168" fontId="0" fillId="0" borderId="14" xfId="0" applyNumberFormat="1" applyBorder="1" applyAlignment="1" applyProtection="1">
      <alignment vertical="top"/>
      <protection locked="0"/>
    </xf>
    <xf numFmtId="164" fontId="2" fillId="0" borderId="1" xfId="0" applyNumberFormat="1" applyFont="1" applyBorder="1" applyAlignment="1">
      <alignment vertical="top"/>
    </xf>
    <xf numFmtId="0" fontId="0" fillId="0" borderId="10" xfId="0" applyBorder="1" applyAlignment="1">
      <alignment vertical="top" wrapText="1"/>
    </xf>
    <xf numFmtId="164" fontId="0" fillId="0" borderId="9" xfId="0" applyNumberFormat="1" applyBorder="1" applyAlignment="1">
      <alignment vertical="top"/>
    </xf>
    <xf numFmtId="164" fontId="0" fillId="0" borderId="11" xfId="0" applyNumberFormat="1" applyBorder="1" applyAlignment="1">
      <alignment vertical="top"/>
    </xf>
    <xf numFmtId="164" fontId="0" fillId="0" borderId="12" xfId="0" applyNumberFormat="1" applyBorder="1" applyAlignment="1">
      <alignment vertical="top"/>
    </xf>
    <xf numFmtId="164" fontId="0" fillId="0" borderId="13" xfId="0" applyNumberFormat="1" applyBorder="1" applyAlignment="1">
      <alignment vertical="top"/>
    </xf>
    <xf numFmtId="164" fontId="0" fillId="0" borderId="14" xfId="0" applyNumberFormat="1" applyBorder="1" applyAlignment="1">
      <alignment vertical="top"/>
    </xf>
    <xf numFmtId="164" fontId="2" fillId="7" borderId="0" xfId="0" applyNumberFormat="1" applyFont="1" applyFill="1" applyAlignment="1">
      <alignment vertical="top"/>
    </xf>
    <xf numFmtId="0" fontId="2" fillId="7" borderId="1" xfId="0" applyFont="1" applyFill="1" applyBorder="1"/>
    <xf numFmtId="169" fontId="0" fillId="7" borderId="1" xfId="0" applyNumberFormat="1" applyFill="1" applyBorder="1" applyProtection="1">
      <protection locked="0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" fontId="0" fillId="0" borderId="1" xfId="0" applyNumberFormat="1" applyBorder="1" applyAlignment="1">
      <alignment vertical="top"/>
    </xf>
    <xf numFmtId="164" fontId="0" fillId="0" borderId="0" xfId="0" applyNumberFormat="1" applyAlignment="1">
      <alignment vertical="top"/>
    </xf>
    <xf numFmtId="0" fontId="0" fillId="8" borderId="0" xfId="0" applyFill="1" applyAlignment="1">
      <alignment vertical="top"/>
    </xf>
    <xf numFmtId="9" fontId="0" fillId="0" borderId="1" xfId="0" applyNumberFormat="1" applyBorder="1" applyAlignment="1">
      <alignment vertical="top"/>
    </xf>
    <xf numFmtId="4" fontId="0" fillId="8" borderId="0" xfId="0" applyNumberFormat="1" applyFill="1" applyAlignment="1">
      <alignment vertical="top"/>
    </xf>
    <xf numFmtId="0" fontId="2" fillId="8" borderId="0" xfId="0" applyFont="1" applyFill="1" applyAlignment="1">
      <alignment vertical="top"/>
    </xf>
    <xf numFmtId="0" fontId="0" fillId="9" borderId="0" xfId="0" applyFill="1" applyAlignment="1">
      <alignment vertical="top"/>
    </xf>
    <xf numFmtId="10" fontId="0" fillId="8" borderId="0" xfId="0" applyNumberFormat="1" applyFill="1" applyAlignment="1">
      <alignment vertical="top"/>
    </xf>
    <xf numFmtId="0" fontId="2" fillId="8" borderId="0" xfId="0" applyFont="1" applyFill="1" applyAlignment="1">
      <alignment vertical="top" wrapText="1"/>
    </xf>
    <xf numFmtId="0" fontId="2" fillId="8" borderId="1" xfId="0" applyFont="1" applyFill="1" applyBorder="1" applyAlignment="1">
      <alignment vertical="top" wrapText="1"/>
    </xf>
    <xf numFmtId="4" fontId="0" fillId="8" borderId="1" xfId="0" applyNumberFormat="1" applyFill="1" applyBorder="1" applyAlignment="1">
      <alignment vertical="top"/>
    </xf>
    <xf numFmtId="0" fontId="0" fillId="8" borderId="1" xfId="0" applyFill="1" applyBorder="1" applyAlignment="1">
      <alignment vertical="top"/>
    </xf>
    <xf numFmtId="170" fontId="0" fillId="8" borderId="1" xfId="0" applyNumberFormat="1" applyFill="1" applyBorder="1" applyAlignment="1">
      <alignment vertical="top"/>
    </xf>
    <xf numFmtId="9" fontId="0" fillId="8" borderId="1" xfId="0" applyNumberFormat="1" applyFill="1" applyBorder="1" applyAlignment="1">
      <alignment vertical="top"/>
    </xf>
    <xf numFmtId="171" fontId="0" fillId="8" borderId="1" xfId="0" applyNumberFormat="1" applyFill="1" applyBorder="1" applyAlignment="1">
      <alignment vertical="top"/>
    </xf>
    <xf numFmtId="172" fontId="0" fillId="8" borderId="1" xfId="0" applyNumberFormat="1" applyFill="1" applyBorder="1" applyAlignment="1">
      <alignment vertical="top"/>
    </xf>
    <xf numFmtId="0" fontId="0" fillId="2" borderId="0" xfId="0" applyFill="1" applyAlignment="1">
      <alignment wrapText="1"/>
    </xf>
    <xf numFmtId="0" fontId="4" fillId="0" borderId="0" xfId="0" applyFont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left"/>
    </xf>
    <xf numFmtId="0" fontId="9" fillId="0" borderId="10" xfId="0" applyFont="1" applyBorder="1"/>
    <xf numFmtId="0" fontId="9" fillId="0" borderId="20" xfId="0" applyFont="1" applyBorder="1"/>
    <xf numFmtId="0" fontId="9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2" fillId="0" borderId="0" xfId="0" applyFont="1"/>
    <xf numFmtId="164" fontId="9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20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vertical="top" wrapText="1"/>
    </xf>
    <xf numFmtId="0" fontId="0" fillId="2" borderId="0" xfId="0" applyFill="1" applyAlignment="1">
      <alignment vertical="top"/>
    </xf>
    <xf numFmtId="0" fontId="2" fillId="0" borderId="0" xfId="0" applyFont="1" applyAlignment="1">
      <alignment vertical="top" wrapText="1"/>
    </xf>
    <xf numFmtId="0" fontId="0" fillId="7" borderId="0" xfId="0" applyFill="1"/>
    <xf numFmtId="0" fontId="0" fillId="7" borderId="0" xfId="0" applyFill="1" applyAlignment="1">
      <alignment horizontal="left"/>
    </xf>
    <xf numFmtId="0" fontId="2" fillId="7" borderId="22" xfId="0" applyFont="1" applyFill="1" applyBorder="1" applyAlignment="1">
      <alignment vertical="top"/>
    </xf>
    <xf numFmtId="0" fontId="2" fillId="7" borderId="23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2" fillId="7" borderId="23" xfId="0" applyFont="1" applyFill="1" applyBorder="1" applyAlignment="1">
      <alignment vertical="top" wrapText="1"/>
    </xf>
    <xf numFmtId="0" fontId="0" fillId="0" borderId="24" xfId="0" applyBorder="1"/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4" xfId="0" applyBorder="1"/>
    <xf numFmtId="0" fontId="0" fillId="0" borderId="9" xfId="0" applyBorder="1"/>
    <xf numFmtId="0" fontId="0" fillId="0" borderId="11" xfId="0" applyBorder="1"/>
    <xf numFmtId="0" fontId="0" fillId="10" borderId="1" xfId="0" applyFill="1" applyBorder="1"/>
    <xf numFmtId="0" fontId="0" fillId="10" borderId="10" xfId="0" applyFill="1" applyBorder="1"/>
    <xf numFmtId="164" fontId="0" fillId="11" borderId="5" xfId="0" applyNumberFormat="1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164" fontId="0" fillId="12" borderId="12" xfId="0" applyNumberFormat="1" applyFill="1" applyBorder="1"/>
    <xf numFmtId="164" fontId="0" fillId="12" borderId="13" xfId="0" applyNumberFormat="1" applyFill="1" applyBorder="1"/>
    <xf numFmtId="164" fontId="0" fillId="12" borderId="14" xfId="0" applyNumberFormat="1" applyFill="1" applyBorder="1"/>
    <xf numFmtId="0" fontId="0" fillId="0" borderId="25" xfId="0" applyBorder="1"/>
    <xf numFmtId="0" fontId="0" fillId="0" borderId="26" xfId="0" applyBorder="1"/>
    <xf numFmtId="4" fontId="0" fillId="7" borderId="0" xfId="0" applyNumberFormat="1" applyFill="1"/>
    <xf numFmtId="0" fontId="0" fillId="0" borderId="27" xfId="0" applyBorder="1"/>
    <xf numFmtId="0" fontId="0" fillId="0" borderId="28" xfId="0" applyBorder="1"/>
    <xf numFmtId="174" fontId="0" fillId="0" borderId="0" xfId="0" applyNumberFormat="1"/>
    <xf numFmtId="0" fontId="0" fillId="0" borderId="22" xfId="0" applyBorder="1"/>
    <xf numFmtId="0" fontId="0" fillId="0" borderId="29" xfId="0" applyBorder="1"/>
    <xf numFmtId="4" fontId="0" fillId="0" borderId="0" xfId="0" applyNumberFormat="1"/>
    <xf numFmtId="4" fontId="0" fillId="13" borderId="0" xfId="0" applyNumberFormat="1" applyFill="1"/>
    <xf numFmtId="10" fontId="0" fillId="0" borderId="0" xfId="0" applyNumberFormat="1"/>
    <xf numFmtId="10" fontId="0" fillId="13" borderId="0" xfId="0" applyNumberFormat="1" applyFill="1"/>
    <xf numFmtId="0" fontId="0" fillId="0" borderId="10" xfId="0" applyBorder="1" applyAlignment="1">
      <alignment horizontal="center"/>
    </xf>
    <xf numFmtId="4" fontId="0" fillId="0" borderId="3" xfId="0" applyNumberFormat="1" applyBorder="1" applyAlignment="1">
      <alignment horizontal="center"/>
    </xf>
    <xf numFmtId="4" fontId="0" fillId="0" borderId="4" xfId="0" applyNumberFormat="1" applyBorder="1"/>
    <xf numFmtId="4" fontId="0" fillId="0" borderId="20" xfId="0" applyNumberFormat="1" applyBorder="1"/>
    <xf numFmtId="4" fontId="0" fillId="0" borderId="2" xfId="0" applyNumberFormat="1" applyBorder="1"/>
    <xf numFmtId="0" fontId="0" fillId="0" borderId="20" xfId="0" applyBorder="1"/>
    <xf numFmtId="0" fontId="0" fillId="0" borderId="2" xfId="0" applyBorder="1"/>
    <xf numFmtId="4" fontId="0" fillId="0" borderId="19" xfId="0" applyNumberFormat="1" applyBorder="1"/>
    <xf numFmtId="0" fontId="0" fillId="0" borderId="19" xfId="0" applyBorder="1"/>
    <xf numFmtId="0" fontId="2" fillId="0" borderId="10" xfId="0" applyFont="1" applyBorder="1"/>
    <xf numFmtId="4" fontId="2" fillId="7" borderId="1" xfId="4" applyNumberFormat="1" applyFont="1" applyFill="1" applyBorder="1" applyProtection="1"/>
    <xf numFmtId="4" fontId="2" fillId="0" borderId="1" xfId="4" applyNumberFormat="1" applyFont="1" applyBorder="1" applyProtection="1"/>
    <xf numFmtId="0" fontId="0" fillId="8" borderId="0" xfId="0" applyFill="1"/>
    <xf numFmtId="4" fontId="0" fillId="8" borderId="0" xfId="0" applyNumberFormat="1" applyFill="1"/>
    <xf numFmtId="10" fontId="0" fillId="8" borderId="0" xfId="0" applyNumberFormat="1" applyFill="1"/>
    <xf numFmtId="9" fontId="0" fillId="8" borderId="0" xfId="0" applyNumberFormat="1" applyFill="1"/>
    <xf numFmtId="4" fontId="0" fillId="8" borderId="4" xfId="0" applyNumberFormat="1" applyFill="1" applyBorder="1"/>
    <xf numFmtId="4" fontId="0" fillId="8" borderId="20" xfId="0" applyNumberFormat="1" applyFill="1" applyBorder="1"/>
    <xf numFmtId="4" fontId="0" fillId="8" borderId="2" xfId="0" applyNumberFormat="1" applyFill="1" applyBorder="1"/>
    <xf numFmtId="164" fontId="0" fillId="14" borderId="0" xfId="0" applyNumberFormat="1" applyFill="1"/>
    <xf numFmtId="0" fontId="0" fillId="14" borderId="0" xfId="0" applyFill="1"/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29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4" fontId="14" fillId="0" borderId="2" xfId="6" applyNumberFormat="1" applyBorder="1" applyAlignment="1" applyProtection="1">
      <alignment horizontal="left" vertical="top"/>
    </xf>
    <xf numFmtId="4" fontId="14" fillId="0" borderId="1" xfId="6" applyNumberFormat="1" applyBorder="1" applyAlignment="1" applyProtection="1">
      <alignment horizontal="left" vertical="top"/>
    </xf>
    <xf numFmtId="4" fontId="0" fillId="0" borderId="1" xfId="0" applyNumberFormat="1" applyBorder="1"/>
    <xf numFmtId="4" fontId="0" fillId="0" borderId="10" xfId="0" applyNumberFormat="1" applyBorder="1"/>
    <xf numFmtId="4" fontId="0" fillId="0" borderId="11" xfId="0" applyNumberFormat="1" applyBorder="1"/>
    <xf numFmtId="0" fontId="0" fillId="0" borderId="37" xfId="0" applyBorder="1"/>
    <xf numFmtId="4" fontId="14" fillId="0" borderId="26" xfId="6" applyNumberFormat="1" applyBorder="1" applyAlignment="1" applyProtection="1">
      <alignment horizontal="left" vertical="top"/>
    </xf>
    <xf numFmtId="4" fontId="14" fillId="0" borderId="38" xfId="6" applyNumberFormat="1" applyBorder="1" applyAlignment="1" applyProtection="1">
      <alignment horizontal="left" vertical="top"/>
    </xf>
    <xf numFmtId="4" fontId="0" fillId="0" borderId="38" xfId="0" applyNumberFormat="1" applyBorder="1"/>
    <xf numFmtId="4" fontId="0" fillId="0" borderId="25" xfId="0" applyNumberFormat="1" applyBorder="1"/>
    <xf numFmtId="4" fontId="0" fillId="0" borderId="39" xfId="0" applyNumberFormat="1" applyBorder="1"/>
    <xf numFmtId="4" fontId="0" fillId="0" borderId="37" xfId="0" applyNumberFormat="1" applyBorder="1"/>
    <xf numFmtId="4" fontId="0" fillId="0" borderId="26" xfId="0" applyNumberFormat="1" applyBorder="1"/>
    <xf numFmtId="0" fontId="2" fillId="0" borderId="30" xfId="0" applyFont="1" applyBorder="1"/>
    <xf numFmtId="4" fontId="2" fillId="0" borderId="40" xfId="6" applyNumberFormat="1" applyFont="1" applyBorder="1" applyAlignment="1" applyProtection="1">
      <alignment horizontal="left" vertical="top"/>
    </xf>
    <xf numFmtId="4" fontId="2" fillId="0" borderId="41" xfId="6" applyNumberFormat="1" applyFont="1" applyBorder="1" applyAlignment="1" applyProtection="1">
      <alignment horizontal="left" vertical="top"/>
    </xf>
    <xf numFmtId="4" fontId="2" fillId="0" borderId="41" xfId="0" applyNumberFormat="1" applyFont="1" applyBorder="1"/>
    <xf numFmtId="4" fontId="2" fillId="0" borderId="42" xfId="0" applyNumberFormat="1" applyFont="1" applyBorder="1"/>
    <xf numFmtId="4" fontId="2" fillId="0" borderId="43" xfId="0" applyNumberFormat="1" applyFont="1" applyBorder="1"/>
    <xf numFmtId="4" fontId="2" fillId="0" borderId="30" xfId="0" applyNumberFormat="1" applyFont="1" applyBorder="1"/>
    <xf numFmtId="4" fontId="2" fillId="0" borderId="40" xfId="0" applyNumberFormat="1" applyFont="1" applyBorder="1"/>
    <xf numFmtId="4" fontId="14" fillId="0" borderId="28" xfId="6" applyNumberFormat="1" applyBorder="1" applyAlignment="1" applyProtection="1">
      <alignment horizontal="left" vertical="top"/>
    </xf>
    <xf numFmtId="4" fontId="14" fillId="0" borderId="44" xfId="6" applyNumberFormat="1" applyBorder="1" applyAlignment="1" applyProtection="1">
      <alignment horizontal="left" vertical="top"/>
    </xf>
    <xf numFmtId="4" fontId="0" fillId="0" borderId="44" xfId="0" applyNumberFormat="1" applyBorder="1"/>
    <xf numFmtId="4" fontId="0" fillId="0" borderId="27" xfId="0" applyNumberFormat="1" applyBorder="1"/>
    <xf numFmtId="4" fontId="0" fillId="0" borderId="45" xfId="0" applyNumberFormat="1" applyBorder="1"/>
    <xf numFmtId="4" fontId="0" fillId="0" borderId="28" xfId="0" applyNumberFormat="1" applyBorder="1"/>
    <xf numFmtId="0" fontId="0" fillId="0" borderId="34" xfId="0" applyBorder="1"/>
    <xf numFmtId="4" fontId="14" fillId="0" borderId="29" xfId="6" applyNumberFormat="1" applyBorder="1" applyAlignment="1" applyProtection="1">
      <alignment horizontal="left" vertical="top"/>
    </xf>
    <xf numFmtId="4" fontId="14" fillId="0" borderId="35" xfId="6" applyNumberFormat="1" applyBorder="1" applyAlignment="1" applyProtection="1">
      <alignment horizontal="left" vertical="top"/>
    </xf>
    <xf numFmtId="4" fontId="0" fillId="0" borderId="35" xfId="0" applyNumberFormat="1" applyBorder="1"/>
    <xf numFmtId="4" fontId="0" fillId="0" borderId="22" xfId="0" applyNumberFormat="1" applyBorder="1"/>
    <xf numFmtId="4" fontId="0" fillId="0" borderId="36" xfId="0" applyNumberFormat="1" applyBorder="1"/>
    <xf numFmtId="4" fontId="0" fillId="0" borderId="34" xfId="0" applyNumberFormat="1" applyBorder="1"/>
    <xf numFmtId="4" fontId="0" fillId="0" borderId="29" xfId="0" applyNumberFormat="1" applyBorder="1"/>
    <xf numFmtId="0" fontId="0" fillId="0" borderId="46" xfId="0" applyBorder="1"/>
    <xf numFmtId="0" fontId="0" fillId="9" borderId="0" xfId="0" applyFill="1" applyAlignment="1">
      <alignment horizontal="center" vertical="center" wrapText="1"/>
    </xf>
    <xf numFmtId="0" fontId="11" fillId="9" borderId="0" xfId="0" applyFont="1" applyFill="1"/>
    <xf numFmtId="4" fontId="12" fillId="9" borderId="0" xfId="0" applyNumberFormat="1" applyFont="1" applyFill="1"/>
    <xf numFmtId="0" fontId="0" fillId="9" borderId="0" xfId="0" applyFill="1"/>
    <xf numFmtId="0" fontId="0" fillId="6" borderId="4" xfId="0" applyFill="1" applyBorder="1"/>
    <xf numFmtId="4" fontId="14" fillId="6" borderId="2" xfId="6" applyNumberFormat="1" applyFill="1" applyBorder="1" applyAlignment="1" applyProtection="1">
      <alignment horizontal="left" vertical="top"/>
    </xf>
    <xf numFmtId="4" fontId="14" fillId="6" borderId="1" xfId="6" applyNumberFormat="1" applyFill="1" applyBorder="1" applyAlignment="1" applyProtection="1">
      <alignment horizontal="left" vertical="top"/>
    </xf>
    <xf numFmtId="4" fontId="0" fillId="6" borderId="1" xfId="0" applyNumberFormat="1" applyFill="1" applyBorder="1"/>
    <xf numFmtId="4" fontId="0" fillId="6" borderId="10" xfId="0" applyNumberFormat="1" applyFill="1" applyBorder="1"/>
    <xf numFmtId="4" fontId="0" fillId="6" borderId="11" xfId="0" applyNumberFormat="1" applyFill="1" applyBorder="1"/>
    <xf numFmtId="4" fontId="0" fillId="6" borderId="4" xfId="0" applyNumberFormat="1" applyFill="1" applyBorder="1"/>
    <xf numFmtId="4" fontId="0" fillId="6" borderId="2" xfId="0" applyNumberFormat="1" applyFill="1" applyBorder="1"/>
    <xf numFmtId="0" fontId="0" fillId="6" borderId="37" xfId="0" applyFill="1" applyBorder="1"/>
    <xf numFmtId="4" fontId="14" fillId="6" borderId="26" xfId="6" applyNumberFormat="1" applyFill="1" applyBorder="1" applyAlignment="1" applyProtection="1">
      <alignment horizontal="left" vertical="top"/>
    </xf>
    <xf numFmtId="4" fontId="14" fillId="6" borderId="38" xfId="6" applyNumberFormat="1" applyFill="1" applyBorder="1" applyAlignment="1" applyProtection="1">
      <alignment horizontal="left" vertical="top"/>
    </xf>
    <xf numFmtId="4" fontId="0" fillId="6" borderId="38" xfId="0" applyNumberFormat="1" applyFill="1" applyBorder="1"/>
    <xf numFmtId="4" fontId="0" fillId="6" borderId="25" xfId="0" applyNumberFormat="1" applyFill="1" applyBorder="1"/>
    <xf numFmtId="4" fontId="0" fillId="6" borderId="39" xfId="0" applyNumberFormat="1" applyFill="1" applyBorder="1"/>
    <xf numFmtId="4" fontId="0" fillId="6" borderId="37" xfId="0" applyNumberFormat="1" applyFill="1" applyBorder="1"/>
    <xf numFmtId="4" fontId="0" fillId="6" borderId="26" xfId="0" applyNumberFormat="1" applyFill="1" applyBorder="1"/>
    <xf numFmtId="0" fontId="2" fillId="6" borderId="30" xfId="0" applyFont="1" applyFill="1" applyBorder="1"/>
    <xf numFmtId="4" fontId="2" fillId="6" borderId="40" xfId="6" applyNumberFormat="1" applyFont="1" applyFill="1" applyBorder="1" applyAlignment="1" applyProtection="1">
      <alignment horizontal="left" vertical="top"/>
    </xf>
    <xf numFmtId="4" fontId="2" fillId="6" borderId="41" xfId="6" applyNumberFormat="1" applyFont="1" applyFill="1" applyBorder="1" applyAlignment="1" applyProtection="1">
      <alignment horizontal="left" vertical="top"/>
    </xf>
    <xf numFmtId="4" fontId="2" fillId="6" borderId="41" xfId="0" applyNumberFormat="1" applyFont="1" applyFill="1" applyBorder="1"/>
    <xf numFmtId="4" fontId="2" fillId="6" borderId="42" xfId="0" applyNumberFormat="1" applyFont="1" applyFill="1" applyBorder="1"/>
    <xf numFmtId="4" fontId="2" fillId="6" borderId="43" xfId="0" applyNumberFormat="1" applyFont="1" applyFill="1" applyBorder="1"/>
    <xf numFmtId="4" fontId="2" fillId="6" borderId="30" xfId="0" applyNumberFormat="1" applyFont="1" applyFill="1" applyBorder="1"/>
    <xf numFmtId="4" fontId="2" fillId="6" borderId="40" xfId="0" applyNumberFormat="1" applyFont="1" applyFill="1" applyBorder="1"/>
    <xf numFmtId="0" fontId="0" fillId="6" borderId="34" xfId="0" applyFill="1" applyBorder="1"/>
    <xf numFmtId="4" fontId="14" fillId="6" borderId="29" xfId="6" applyNumberFormat="1" applyFill="1" applyBorder="1" applyAlignment="1" applyProtection="1">
      <alignment horizontal="left" vertical="top"/>
    </xf>
    <xf numFmtId="4" fontId="14" fillId="6" borderId="35" xfId="6" applyNumberFormat="1" applyFill="1" applyBorder="1" applyAlignment="1" applyProtection="1">
      <alignment horizontal="left" vertical="top"/>
    </xf>
    <xf numFmtId="4" fontId="0" fillId="6" borderId="35" xfId="0" applyNumberFormat="1" applyFill="1" applyBorder="1"/>
    <xf numFmtId="4" fontId="0" fillId="6" borderId="22" xfId="0" applyNumberFormat="1" applyFill="1" applyBorder="1"/>
    <xf numFmtId="4" fontId="0" fillId="6" borderId="36" xfId="0" applyNumberFormat="1" applyFill="1" applyBorder="1"/>
    <xf numFmtId="4" fontId="0" fillId="6" borderId="34" xfId="0" applyNumberFormat="1" applyFill="1" applyBorder="1"/>
    <xf numFmtId="4" fontId="0" fillId="6" borderId="29" xfId="0" applyNumberFormat="1" applyFill="1" applyBorder="1"/>
    <xf numFmtId="0" fontId="2" fillId="9" borderId="0" xfId="0" applyFont="1" applyFill="1"/>
    <xf numFmtId="10" fontId="0" fillId="9" borderId="0" xfId="0" applyNumberFormat="1" applyFill="1"/>
    <xf numFmtId="10" fontId="0" fillId="0" borderId="1" xfId="0" applyNumberFormat="1" applyBorder="1"/>
    <xf numFmtId="10" fontId="0" fillId="0" borderId="38" xfId="0" applyNumberFormat="1" applyBorder="1"/>
    <xf numFmtId="175" fontId="0" fillId="0" borderId="0" xfId="0" applyNumberFormat="1"/>
    <xf numFmtId="4" fontId="0" fillId="4" borderId="4" xfId="0" applyNumberFormat="1" applyFill="1" applyBorder="1"/>
    <xf numFmtId="4" fontId="0" fillId="4" borderId="20" xfId="0" applyNumberFormat="1" applyFill="1" applyBorder="1"/>
    <xf numFmtId="4" fontId="0" fillId="4" borderId="2" xfId="0" applyNumberFormat="1" applyFill="1" applyBorder="1"/>
    <xf numFmtId="0" fontId="0" fillId="4" borderId="20" xfId="0" applyFill="1" applyBorder="1"/>
    <xf numFmtId="0" fontId="0" fillId="4" borderId="4" xfId="0" applyFill="1" applyBorder="1"/>
    <xf numFmtId="0" fontId="0" fillId="4" borderId="2" xfId="0" applyFill="1" applyBorder="1"/>
    <xf numFmtId="4" fontId="2" fillId="0" borderId="4" xfId="0" applyNumberFormat="1" applyFont="1" applyBorder="1"/>
    <xf numFmtId="4" fontId="2" fillId="0" borderId="20" xfId="0" applyNumberFormat="1" applyFont="1" applyBorder="1"/>
    <xf numFmtId="4" fontId="2" fillId="0" borderId="2" xfId="0" applyNumberFormat="1" applyFont="1" applyBorder="1"/>
    <xf numFmtId="4" fontId="2" fillId="7" borderId="1" xfId="5" applyNumberFormat="1" applyFont="1" applyFill="1" applyBorder="1" applyProtection="1"/>
    <xf numFmtId="4" fontId="2" fillId="0" borderId="1" xfId="5" applyNumberFormat="1" applyFont="1" applyBorder="1" applyProtection="1"/>
    <xf numFmtId="0" fontId="13" fillId="0" borderId="0" xfId="3" applyFont="1"/>
    <xf numFmtId="0" fontId="0" fillId="7" borderId="1" xfId="0" applyFill="1" applyBorder="1" applyAlignment="1">
      <alignment horizontal="left"/>
    </xf>
    <xf numFmtId="0" fontId="2" fillId="0" borderId="3" xfId="0" applyFont="1" applyBorder="1" applyAlignment="1">
      <alignment horizontal="center" vertical="top"/>
    </xf>
    <xf numFmtId="0" fontId="2" fillId="7" borderId="1" xfId="0" applyFont="1" applyFill="1" applyBorder="1" applyAlignment="1">
      <alignment horizontal="left"/>
    </xf>
    <xf numFmtId="0" fontId="0" fillId="7" borderId="1" xfId="0" applyFill="1" applyBorder="1" applyAlignment="1">
      <alignment horizontal="center"/>
    </xf>
    <xf numFmtId="0" fontId="0" fillId="3" borderId="1" xfId="0" applyFill="1" applyBorder="1" applyAlignment="1" applyProtection="1">
      <alignment horizontal="left" vertical="top" wrapText="1"/>
      <protection locked="0"/>
    </xf>
    <xf numFmtId="0" fontId="2" fillId="0" borderId="6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164" fontId="0" fillId="7" borderId="1" xfId="0" applyNumberForma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169" fontId="0" fillId="7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164" fontId="0" fillId="0" borderId="1" xfId="0" applyNumberForma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vertical="top" wrapText="1"/>
    </xf>
    <xf numFmtId="4" fontId="14" fillId="0" borderId="1" xfId="1" applyNumberFormat="1" applyBorder="1" applyAlignment="1" applyProtection="1">
      <alignment vertical="top" wrapText="1"/>
    </xf>
    <xf numFmtId="4" fontId="2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2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0" xfId="0" applyFon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</cellXfs>
  <cellStyles count="7">
    <cellStyle name="Normale" xfId="0" builtinId="0"/>
    <cellStyle name="Normale 2" xfId="2" xr:uid="{00000000-0005-0000-0000-000006000000}"/>
    <cellStyle name="Normale 3" xfId="3" xr:uid="{00000000-0005-0000-0000-000007000000}"/>
    <cellStyle name="Percentuale 2" xfId="4" xr:uid="{00000000-0005-0000-0000-000008000000}"/>
    <cellStyle name="Percentuale 2 2" xfId="5" xr:uid="{00000000-0005-0000-0000-000009000000}"/>
    <cellStyle name="Valuta" xfId="1" builtinId="4"/>
    <cellStyle name="Valuta 2" xfId="6" xr:uid="{00000000-0005-0000-0000-00000A000000}"/>
  </cellStyles>
  <dxfs count="30">
    <dxf>
      <font>
        <color rgb="FFBFBFBF"/>
      </font>
      <fill>
        <patternFill>
          <bgColor rgb="FFBFBFBF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BFBFBF"/>
      </font>
      <fill>
        <patternFill>
          <bgColor rgb="FFBFBFBF"/>
        </patternFill>
      </fill>
    </dxf>
    <dxf>
      <font>
        <color rgb="FFBFBFBF"/>
      </font>
      <fill>
        <patternFill>
          <bgColor rgb="FFBFBFBF"/>
        </patternFill>
      </fill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strike val="0"/>
      </font>
    </dxf>
    <dxf>
      <fill>
        <patternFill>
          <bgColor rgb="FF000000"/>
        </patternFill>
      </fill>
    </dxf>
    <dxf>
      <fill>
        <patternFill>
          <bgColor rgb="FFFFC000"/>
        </patternFill>
      </fill>
    </dxf>
    <dxf>
      <fill>
        <patternFill>
          <bgColor rgb="FF000000"/>
        </patternFill>
      </fill>
    </dxf>
    <dxf>
      <fill>
        <patternFill>
          <bgColor rgb="FFFF0000"/>
        </patternFill>
      </fill>
    </dxf>
    <dxf>
      <font>
        <strike val="0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strike val="0"/>
      </font>
    </dxf>
    <dxf>
      <fill>
        <patternFill>
          <bgColor rgb="FF0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1DA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7DEE8"/>
      <rgbColor rgb="FFFF99CC"/>
      <rgbColor rgb="FFCC99FF"/>
      <rgbColor rgb="FFC3D69B"/>
      <rgbColor rgb="FF3366FF"/>
      <rgbColor rgb="FF33CCCC"/>
      <rgbColor rgb="FF99CC00"/>
      <rgbColor rgb="FFFFCC00"/>
      <rgbColor rgb="FFFFC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253"/>
  <sheetViews>
    <sheetView tabSelected="1" zoomScale="85" zoomScaleNormal="85" workbookViewId="0">
      <selection activeCell="D5" sqref="D5"/>
    </sheetView>
  </sheetViews>
  <sheetFormatPr defaultColWidth="9.1796875" defaultRowHeight="14.5" x14ac:dyDescent="0.35"/>
  <cols>
    <col min="1" max="1" width="9.1796875" style="3"/>
    <col min="2" max="2" width="51" style="3" customWidth="1"/>
    <col min="3" max="3" width="39" style="3" customWidth="1"/>
    <col min="4" max="4" width="41.453125" style="3" customWidth="1"/>
    <col min="5" max="6" width="37.81640625" style="3" customWidth="1"/>
    <col min="7" max="7" width="35.81640625" style="3" customWidth="1"/>
    <col min="8" max="8" width="24.453125" style="3" customWidth="1"/>
    <col min="9" max="9" width="36" style="3" customWidth="1"/>
    <col min="10" max="10" width="32.54296875" style="3" customWidth="1"/>
    <col min="11" max="11" width="29.7265625" style="3" customWidth="1"/>
    <col min="12" max="12" width="24.26953125" style="3" customWidth="1"/>
    <col min="13" max="13" width="25" style="3" customWidth="1"/>
    <col min="14" max="14" width="24.26953125" style="3" customWidth="1"/>
    <col min="15" max="15" width="20.7265625" style="3" customWidth="1"/>
    <col min="16" max="16" width="24.7265625" style="3" customWidth="1"/>
    <col min="17" max="18" width="23" style="3" customWidth="1"/>
    <col min="19" max="19" width="30.26953125" style="3" customWidth="1"/>
    <col min="20" max="23" width="23" style="3" customWidth="1"/>
    <col min="24" max="24" width="21.7265625" style="3" customWidth="1"/>
    <col min="25" max="25" width="14.54296875" style="3" customWidth="1"/>
    <col min="26" max="29" width="14.54296875" style="3" hidden="1" customWidth="1"/>
    <col min="30" max="30" width="19.453125" style="3" hidden="1" customWidth="1"/>
    <col min="31" max="31" width="19.1796875" style="3" hidden="1" customWidth="1"/>
    <col min="32" max="33" width="9.1796875" style="3" hidden="1"/>
    <col min="34" max="34" width="15.7265625" style="3" hidden="1" customWidth="1"/>
    <col min="35" max="35" width="21" style="3" hidden="1" customWidth="1"/>
    <col min="36" max="43" width="9.1796875" style="3" hidden="1"/>
    <col min="44" max="44" width="117.7265625" style="4" hidden="1" customWidth="1"/>
    <col min="45" max="50" width="9.1796875" style="3" hidden="1"/>
    <col min="51" max="1024" width="9.1796875" style="3"/>
  </cols>
  <sheetData>
    <row r="1" spans="1:44" x14ac:dyDescent="0.35">
      <c r="A1" s="5" t="s">
        <v>0</v>
      </c>
    </row>
    <row r="2" spans="1:44" x14ac:dyDescent="0.35">
      <c r="B2" s="6" t="s">
        <v>1</v>
      </c>
      <c r="C2" s="7" t="s">
        <v>2</v>
      </c>
    </row>
    <row r="3" spans="1:44" ht="33" customHeight="1" x14ac:dyDescent="0.35">
      <c r="B3" s="6" t="s">
        <v>3</v>
      </c>
      <c r="C3" s="8" t="s">
        <v>4</v>
      </c>
    </row>
    <row r="4" spans="1:44" ht="35.25" customHeight="1" x14ac:dyDescent="0.35">
      <c r="B4" s="6" t="s">
        <v>5</v>
      </c>
      <c r="C4" s="9" t="s">
        <v>6</v>
      </c>
    </row>
    <row r="5" spans="1:44" x14ac:dyDescent="0.35">
      <c r="B5" s="6" t="s">
        <v>7</v>
      </c>
      <c r="C5" s="9" t="s">
        <v>8</v>
      </c>
    </row>
    <row r="6" spans="1:44" x14ac:dyDescent="0.35">
      <c r="B6" s="6" t="s">
        <v>9</v>
      </c>
      <c r="C6" s="9" t="s">
        <v>10</v>
      </c>
    </row>
    <row r="7" spans="1:44" x14ac:dyDescent="0.35">
      <c r="B7" s="6" t="s">
        <v>11</v>
      </c>
      <c r="C7" s="10" t="s">
        <v>12</v>
      </c>
    </row>
    <row r="8" spans="1:44" x14ac:dyDescent="0.35">
      <c r="B8" s="6" t="s">
        <v>13</v>
      </c>
      <c r="C8" s="9" t="s">
        <v>14</v>
      </c>
    </row>
    <row r="12" spans="1:44" s="5" customFormat="1" x14ac:dyDescent="0.35">
      <c r="C12" s="5" t="s">
        <v>15</v>
      </c>
      <c r="D12" s="5" t="s">
        <v>16</v>
      </c>
      <c r="AR12" s="11"/>
    </row>
    <row r="13" spans="1:44" x14ac:dyDescent="0.35">
      <c r="B13" s="6" t="s">
        <v>17</v>
      </c>
      <c r="C13" s="12" t="s">
        <v>18</v>
      </c>
    </row>
    <row r="14" spans="1:44" x14ac:dyDescent="0.35">
      <c r="A14" s="3">
        <f>+INDEX($A$233:$A$240,MATCH(C14,$B$233:$B$240,0))</f>
        <v>2</v>
      </c>
      <c r="B14" s="6" t="s">
        <v>19</v>
      </c>
      <c r="C14" s="12" t="s">
        <v>20</v>
      </c>
    </row>
    <row r="15" spans="1:44" x14ac:dyDescent="0.35">
      <c r="B15" s="315"/>
      <c r="C15" s="315"/>
      <c r="D15" s="315"/>
    </row>
    <row r="16" spans="1:44" x14ac:dyDescent="0.35">
      <c r="A16" s="5" t="s">
        <v>21</v>
      </c>
      <c r="B16" s="2"/>
      <c r="C16" s="2"/>
      <c r="D16" s="2"/>
    </row>
    <row r="17" spans="1:44" ht="15" customHeight="1" x14ac:dyDescent="0.35">
      <c r="B17" s="13" t="s">
        <v>22</v>
      </c>
      <c r="C17" s="311" t="s">
        <v>23</v>
      </c>
      <c r="D17" s="311"/>
      <c r="E17" s="311"/>
      <c r="AR17" s="4" t="str">
        <f>+C17</f>
        <v>Gestione Sezione Primavera</v>
      </c>
    </row>
    <row r="18" spans="1:44" ht="30" customHeight="1" x14ac:dyDescent="0.35">
      <c r="B18" s="14" t="s">
        <v>24</v>
      </c>
      <c r="C18" s="311" t="s">
        <v>25</v>
      </c>
      <c r="D18" s="311"/>
      <c r="E18" s="311"/>
      <c r="AR18" s="4" t="str">
        <f>+C18</f>
        <v>Regolamento regionale R.R. 4/2007 E SS.MM.II.</v>
      </c>
    </row>
    <row r="19" spans="1:44" ht="30" customHeight="1" x14ac:dyDescent="0.35">
      <c r="B19" s="14" t="s">
        <v>26</v>
      </c>
      <c r="C19" s="311" t="s">
        <v>27</v>
      </c>
      <c r="D19" s="311"/>
      <c r="E19" s="311"/>
      <c r="AR19" s="4" t="str">
        <f>+C19</f>
        <v>L'attività è soggetta ad autorizzazione al funzionamento rilasciata prima dell'avvio delle attività contenente la conferma della titolarità e rispettivo aggiornamento del soggetto gestore</v>
      </c>
    </row>
    <row r="20" spans="1:44" ht="30" customHeight="1" x14ac:dyDescent="0.35">
      <c r="B20" s="14" t="s">
        <v>28</v>
      </c>
      <c r="C20" s="311" t="s">
        <v>29</v>
      </c>
      <c r="D20" s="311"/>
      <c r="E20" s="311"/>
      <c r="AR20" s="4" t="str">
        <f>+C20</f>
        <v>Delibera del comune approvata in sede di bilancio di previsione contenente importi da corrispondere in base alle fasce di reddito dell'utenza</v>
      </c>
    </row>
    <row r="21" spans="1:44" ht="30" customHeight="1" x14ac:dyDescent="0.35">
      <c r="B21" s="14" t="s">
        <v>30</v>
      </c>
      <c r="C21" s="311" t="s">
        <v>31</v>
      </c>
      <c r="D21" s="311"/>
      <c r="E21" s="311"/>
      <c r="AR21" s="4" t="str">
        <f>+C21</f>
        <v>le quote sono definite in base all'indicatore  ISEE</v>
      </c>
    </row>
    <row r="22" spans="1:44" x14ac:dyDescent="0.35">
      <c r="C22"/>
      <c r="D22"/>
      <c r="E22"/>
    </row>
    <row r="23" spans="1:44" x14ac:dyDescent="0.35">
      <c r="C23" s="2"/>
      <c r="D23" s="2"/>
    </row>
    <row r="25" spans="1:44" ht="29" x14ac:dyDescent="0.35">
      <c r="B25" s="6" t="s">
        <v>32</v>
      </c>
      <c r="C25" s="15" t="s">
        <v>33</v>
      </c>
    </row>
    <row r="26" spans="1:44" x14ac:dyDescent="0.35">
      <c r="B26" s="6" t="s">
        <v>34</v>
      </c>
      <c r="C26" s="15" t="s">
        <v>35</v>
      </c>
      <c r="D26" s="16" t="str">
        <f>+IF(AND(C25=C194,C26=C198),"Nel caso di gestione diretta è necessario utilizzare il CCNL Enti Locali.","") &amp; IF(AND(C25=C196,C26&lt;&gt;C198),"Nel caso di concessione è necessario utilizzare il CCNL Cooperative.","")&amp; IF(AND(C25=C192,C26&lt;&gt;C198),"Nel caso di appalto di servizi è necessario utilizzare il CCNL Cooperative.","")</f>
        <v/>
      </c>
    </row>
    <row r="27" spans="1:44" x14ac:dyDescent="0.35">
      <c r="B27" s="6" t="s">
        <v>36</v>
      </c>
      <c r="C27" s="8" t="s">
        <v>37</v>
      </c>
      <c r="D27" s="17"/>
    </row>
    <row r="28" spans="1:44" x14ac:dyDescent="0.35">
      <c r="D28" s="17"/>
    </row>
    <row r="30" spans="1:44" x14ac:dyDescent="0.35">
      <c r="A30" s="5" t="s">
        <v>38</v>
      </c>
    </row>
    <row r="31" spans="1:44" x14ac:dyDescent="0.35">
      <c r="B31" s="18" t="s">
        <v>39</v>
      </c>
      <c r="C31" s="18" t="s">
        <v>40</v>
      </c>
    </row>
    <row r="32" spans="1:44" x14ac:dyDescent="0.35">
      <c r="B32" s="19"/>
      <c r="C32" s="19"/>
    </row>
    <row r="33" spans="1:44" x14ac:dyDescent="0.35">
      <c r="B33" s="20"/>
      <c r="C33" s="21">
        <v>0</v>
      </c>
    </row>
    <row r="34" spans="1:44" x14ac:dyDescent="0.35">
      <c r="B34" s="20"/>
      <c r="C34" s="21">
        <v>0</v>
      </c>
    </row>
    <row r="35" spans="1:44" x14ac:dyDescent="0.35">
      <c r="B35" s="22" t="s">
        <v>41</v>
      </c>
      <c r="C35" s="21">
        <v>0</v>
      </c>
    </row>
    <row r="36" spans="1:44" x14ac:dyDescent="0.35">
      <c r="B36" s="22" t="s">
        <v>42</v>
      </c>
      <c r="C36" s="21">
        <v>0</v>
      </c>
    </row>
    <row r="37" spans="1:44" x14ac:dyDescent="0.35">
      <c r="B37" s="20"/>
      <c r="C37" s="21"/>
    </row>
    <row r="38" spans="1:44" x14ac:dyDescent="0.35">
      <c r="B38" s="20"/>
      <c r="C38" s="21"/>
    </row>
    <row r="39" spans="1:44" x14ac:dyDescent="0.35">
      <c r="B39" s="23"/>
      <c r="C39" s="24"/>
    </row>
    <row r="42" spans="1:44" x14ac:dyDescent="0.35">
      <c r="A42" s="5" t="s">
        <v>43</v>
      </c>
    </row>
    <row r="43" spans="1:44" s="5" customFormat="1" ht="43.5" x14ac:dyDescent="0.35">
      <c r="B43" s="1" t="s">
        <v>44</v>
      </c>
      <c r="C43" s="1" t="s">
        <v>45</v>
      </c>
      <c r="D43" s="308" t="s">
        <v>46</v>
      </c>
      <c r="E43" s="308"/>
      <c r="F43" s="308"/>
      <c r="G43" s="308"/>
      <c r="H43" s="308"/>
      <c r="I43" s="312" t="s">
        <v>47</v>
      </c>
      <c r="J43" s="312"/>
      <c r="K43" s="312"/>
      <c r="L43" s="312"/>
      <c r="M43" s="312"/>
      <c r="N43" s="312"/>
      <c r="O43" s="312"/>
      <c r="P43" s="25" t="s">
        <v>48</v>
      </c>
      <c r="Q43" s="25" t="s">
        <v>49</v>
      </c>
      <c r="R43" s="25" t="s">
        <v>50</v>
      </c>
      <c r="S43" s="3"/>
      <c r="T43" s="3"/>
      <c r="U43" s="3"/>
      <c r="V43" s="3"/>
      <c r="W43" s="3"/>
      <c r="X43" s="3"/>
      <c r="AR43" s="11"/>
    </row>
    <row r="44" spans="1:44" x14ac:dyDescent="0.35">
      <c r="B44" s="19"/>
      <c r="C44" s="19"/>
      <c r="D44" s="26" t="s">
        <v>51</v>
      </c>
      <c r="E44" s="3" t="s">
        <v>52</v>
      </c>
      <c r="F44" s="27" t="s">
        <v>53</v>
      </c>
      <c r="G44" s="27" t="s">
        <v>54</v>
      </c>
      <c r="H44" s="28" t="s">
        <v>55</v>
      </c>
      <c r="I44" s="29" t="s">
        <v>56</v>
      </c>
      <c r="J44" s="6" t="s">
        <v>57</v>
      </c>
      <c r="K44" s="6" t="s">
        <v>58</v>
      </c>
      <c r="L44" s="6" t="s">
        <v>59</v>
      </c>
      <c r="M44" s="6" t="s">
        <v>60</v>
      </c>
      <c r="N44" s="6" t="s">
        <v>61</v>
      </c>
      <c r="O44" s="30" t="s">
        <v>62</v>
      </c>
      <c r="P44" s="6"/>
      <c r="Q44" s="6"/>
      <c r="R44" s="6"/>
    </row>
    <row r="45" spans="1:44" x14ac:dyDescent="0.35">
      <c r="B45" s="20"/>
      <c r="C45" s="20"/>
      <c r="D45" s="31"/>
      <c r="E45" s="32"/>
      <c r="F45" s="33"/>
      <c r="G45" s="33"/>
      <c r="H45" s="34"/>
      <c r="I45" s="31"/>
      <c r="J45" s="32"/>
      <c r="K45" s="32"/>
      <c r="L45" s="32"/>
      <c r="M45" s="32"/>
      <c r="N45" s="32"/>
      <c r="O45" s="35"/>
      <c r="P45" s="6"/>
      <c r="Q45" s="32"/>
      <c r="R45" s="36"/>
    </row>
    <row r="46" spans="1:44" x14ac:dyDescent="0.35">
      <c r="B46" s="20"/>
      <c r="C46" s="20"/>
      <c r="D46" s="31"/>
      <c r="E46" s="32"/>
      <c r="F46" s="33"/>
      <c r="G46" s="33"/>
      <c r="H46" s="34"/>
      <c r="I46" s="31"/>
      <c r="J46" s="31"/>
      <c r="K46" s="31"/>
      <c r="L46" s="31"/>
      <c r="M46" s="31"/>
      <c r="N46" s="32"/>
      <c r="O46" s="35"/>
      <c r="P46" s="6"/>
      <c r="Q46" s="32"/>
      <c r="R46" s="36"/>
    </row>
    <row r="47" spans="1:44" x14ac:dyDescent="0.35">
      <c r="B47" s="22" t="s">
        <v>41</v>
      </c>
      <c r="C47" s="20" t="s">
        <v>63</v>
      </c>
      <c r="D47" s="31">
        <v>10</v>
      </c>
      <c r="E47" s="32" t="s">
        <v>64</v>
      </c>
      <c r="F47" s="33"/>
      <c r="G47" s="33"/>
      <c r="H47" s="34">
        <v>10</v>
      </c>
      <c r="I47" s="31">
        <v>7</v>
      </c>
      <c r="J47" s="31">
        <v>7</v>
      </c>
      <c r="K47" s="31">
        <v>7</v>
      </c>
      <c r="L47" s="31">
        <v>7</v>
      </c>
      <c r="M47" s="31">
        <v>7</v>
      </c>
      <c r="N47" s="32">
        <v>6</v>
      </c>
      <c r="O47" s="35"/>
      <c r="P47" s="6">
        <f>+COUNTIF(I47:O47,"&gt;0")</f>
        <v>6</v>
      </c>
      <c r="Q47" s="32">
        <v>6.5</v>
      </c>
      <c r="R47" s="36"/>
    </row>
    <row r="48" spans="1:44" x14ac:dyDescent="0.35">
      <c r="B48" s="22" t="s">
        <v>42</v>
      </c>
      <c r="C48" s="20" t="s">
        <v>63</v>
      </c>
      <c r="D48" s="31">
        <v>10</v>
      </c>
      <c r="E48" s="32" t="s">
        <v>64</v>
      </c>
      <c r="F48" s="33"/>
      <c r="G48" s="33"/>
      <c r="H48" s="34">
        <v>10</v>
      </c>
      <c r="I48" s="31">
        <v>7</v>
      </c>
      <c r="J48" s="32">
        <v>7</v>
      </c>
      <c r="K48" s="32">
        <v>7</v>
      </c>
      <c r="L48" s="32">
        <v>7</v>
      </c>
      <c r="M48" s="32">
        <v>7</v>
      </c>
      <c r="N48" s="32">
        <v>6</v>
      </c>
      <c r="O48" s="35"/>
      <c r="P48" s="6">
        <f>+COUNTIF(I48:O48,"&gt;0")</f>
        <v>6</v>
      </c>
      <c r="Q48" s="32">
        <v>6.5</v>
      </c>
      <c r="R48" s="36"/>
    </row>
    <row r="49" spans="1:44" x14ac:dyDescent="0.35">
      <c r="B49" s="20"/>
      <c r="C49" s="20"/>
      <c r="D49" s="31"/>
      <c r="E49" s="32"/>
      <c r="F49" s="33"/>
      <c r="G49" s="33"/>
      <c r="H49" s="34"/>
      <c r="I49" s="31"/>
      <c r="J49" s="32"/>
      <c r="K49" s="32"/>
      <c r="L49" s="32"/>
      <c r="M49" s="32"/>
      <c r="N49" s="32"/>
      <c r="O49" s="35"/>
      <c r="P49" s="6">
        <f>+COUNTIF(I49:O49,"&gt;0")</f>
        <v>0</v>
      </c>
      <c r="Q49" s="32"/>
      <c r="R49" s="36"/>
    </row>
    <row r="50" spans="1:44" x14ac:dyDescent="0.35">
      <c r="B50" s="20"/>
      <c r="C50" s="20"/>
      <c r="D50" s="31"/>
      <c r="E50" s="32"/>
      <c r="F50" s="33"/>
      <c r="G50" s="33"/>
      <c r="H50" s="34"/>
      <c r="I50" s="31"/>
      <c r="J50" s="32"/>
      <c r="K50" s="32"/>
      <c r="L50" s="32"/>
      <c r="M50" s="32"/>
      <c r="N50" s="32"/>
      <c r="O50" s="35"/>
      <c r="P50" s="6">
        <f>+COUNTIF(I50:O50,"&gt;0")</f>
        <v>0</v>
      </c>
      <c r="Q50" s="32"/>
      <c r="R50" s="36"/>
    </row>
    <row r="51" spans="1:44" x14ac:dyDescent="0.35">
      <c r="B51" s="23"/>
      <c r="C51" s="23"/>
      <c r="D51" s="37"/>
      <c r="E51" s="32"/>
      <c r="F51" s="38"/>
      <c r="G51" s="38"/>
      <c r="H51" s="39"/>
      <c r="I51" s="37"/>
      <c r="J51" s="40"/>
      <c r="K51" s="40"/>
      <c r="L51" s="40"/>
      <c r="M51" s="40"/>
      <c r="N51" s="40"/>
      <c r="O51" s="41"/>
      <c r="P51" s="6">
        <f>+COUNTIF(I51:O51,"&gt;0")</f>
        <v>0</v>
      </c>
      <c r="Q51" s="32"/>
      <c r="R51" s="36"/>
    </row>
    <row r="52" spans="1:44" ht="33" customHeight="1" x14ac:dyDescent="0.35">
      <c r="P52" s="42" t="s">
        <v>65</v>
      </c>
      <c r="Q52" s="42"/>
      <c r="R52" s="42"/>
    </row>
    <row r="53" spans="1:44" x14ac:dyDescent="0.35">
      <c r="A53" s="5" t="s">
        <v>66</v>
      </c>
    </row>
    <row r="54" spans="1:44" s="43" customFormat="1" ht="58" x14ac:dyDescent="0.35">
      <c r="B54" s="44" t="s">
        <v>44</v>
      </c>
      <c r="C54" s="45" t="s">
        <v>67</v>
      </c>
      <c r="D54" s="313" t="s">
        <v>68</v>
      </c>
      <c r="E54" s="313"/>
      <c r="F54" s="313"/>
      <c r="G54" s="313" t="s">
        <v>69</v>
      </c>
      <c r="H54" s="313"/>
      <c r="I54" s="314" t="s">
        <v>70</v>
      </c>
      <c r="J54" s="314"/>
      <c r="K54" s="46" t="s">
        <v>71</v>
      </c>
      <c r="L54" s="47" t="s">
        <v>72</v>
      </c>
      <c r="M54" s="48" t="s">
        <v>73</v>
      </c>
      <c r="AR54" s="49"/>
    </row>
    <row r="55" spans="1:44" x14ac:dyDescent="0.35">
      <c r="B55" s="50"/>
      <c r="C55" s="51"/>
      <c r="D55" s="52" t="s">
        <v>74</v>
      </c>
      <c r="E55" s="25" t="s">
        <v>75</v>
      </c>
      <c r="F55" s="53" t="s">
        <v>76</v>
      </c>
      <c r="G55" s="54" t="s">
        <v>77</v>
      </c>
      <c r="H55" s="55" t="s">
        <v>78</v>
      </c>
      <c r="I55" s="54" t="s">
        <v>77</v>
      </c>
      <c r="J55" s="51" t="s">
        <v>78</v>
      </c>
      <c r="K55" s="54"/>
      <c r="L55" s="55"/>
      <c r="M55" s="56"/>
    </row>
    <row r="56" spans="1:44" x14ac:dyDescent="0.35">
      <c r="B56" s="57"/>
      <c r="C56" s="58"/>
      <c r="D56" s="29"/>
      <c r="E56" s="6"/>
      <c r="F56" s="59"/>
      <c r="G56" s="29"/>
      <c r="H56" s="60"/>
      <c r="I56" s="29"/>
      <c r="J56" s="35"/>
      <c r="K56" s="61"/>
      <c r="L56" s="62"/>
      <c r="M56" s="63"/>
    </row>
    <row r="57" spans="1:44" x14ac:dyDescent="0.35">
      <c r="B57" s="57"/>
      <c r="C57" s="58"/>
      <c r="D57" s="29"/>
      <c r="E57" s="6"/>
      <c r="F57" s="59"/>
      <c r="G57" s="29"/>
      <c r="H57" s="60"/>
      <c r="I57" s="29"/>
      <c r="J57" s="35"/>
      <c r="K57" s="61"/>
      <c r="L57" s="62"/>
      <c r="M57" s="63"/>
    </row>
    <row r="58" spans="1:44" x14ac:dyDescent="0.35">
      <c r="B58" s="57" t="str">
        <f>+B47</f>
        <v>Erchie</v>
      </c>
      <c r="C58" s="58">
        <f>+SUM(I47:O47)*Q47*4.333</f>
        <v>1154.7445</v>
      </c>
      <c r="D58" s="29">
        <f>+IF(E47=$C$203,ROUNDUP(D47/$H$243,0),IF($E$243&gt;0,ROUNDUP(F47/$E$243,0),0)+IF($F$243&gt;0,ROUNDUP(G47/$F$243,0),0)+IF($G$243&gt;0,ROUNDUP(H47/$G$243,0),0))-E58</f>
        <v>1</v>
      </c>
      <c r="E58" s="6">
        <f>+IF(E47=$C$203,ROUNDDOWN(D47/$H$243*$I$243,0),IF($E$243&gt;0,ROUNDDOWN(F47/$E$243*$I$243,0),0)+IF($F$243&gt;0,ROUNDDOWN(G47/$F$243*$I$243,0),0)+IF($G$243&gt;0,ROUNDDOWN(H47/$G$243*$I$243,0),0))</f>
        <v>0</v>
      </c>
      <c r="F58" s="59">
        <f>IFERROR(ROUNDUP(D47/$J$243,0),0)</f>
        <v>1</v>
      </c>
      <c r="G58" s="29">
        <f>IF(AND($C$13=$C$160,D47&gt;20),0.5,0)</f>
        <v>0</v>
      </c>
      <c r="H58" s="60"/>
      <c r="I58" s="29">
        <f>IF(AND($C$13=$C$160,D47&gt;29),0.5,IF(AND($C$13=$C$160,D47&gt;19),0.3,0))</f>
        <v>0</v>
      </c>
      <c r="J58" s="35"/>
      <c r="K58" s="61">
        <f>+IF($C$13=$C$160,ROUNDUP(D47*(IF(I47&gt;5,1,0)+IF(J47&gt;5,1,0)+IF(K47&gt;5,1,0)+IF(L47&gt;5,1,0)+IF(M47&gt;5,1,0)+IF(N47&gt;5,1,0)+IF(O47&gt;5,1,0))*Q47*4.333,0),0)</f>
        <v>1690</v>
      </c>
      <c r="L58" s="62">
        <v>4</v>
      </c>
      <c r="M58" s="63"/>
    </row>
    <row r="59" spans="1:44" x14ac:dyDescent="0.35">
      <c r="B59" s="57" t="str">
        <f>+B48</f>
        <v>San Pietro Vernotico</v>
      </c>
      <c r="C59" s="58">
        <f>+SUM(I48:O48)*Q48*4.333</f>
        <v>1154.7445</v>
      </c>
      <c r="D59" s="29">
        <f>+IF(E48=$C$203,ROUNDUP(D48/$H$243,0),IF($E$243&gt;0,ROUNDUP(F48/$E$243,0),0)+IF($F$243&gt;0,ROUNDUP(G48/$F$243,0),0)+IF($G$243&gt;0,ROUNDUP(H48/$G$243,0),0))-E59</f>
        <v>1</v>
      </c>
      <c r="E59" s="6">
        <f>+IF(E48=$C$203,ROUNDDOWN(D48/$H$243*$I$243,0),IF($E$243&gt;0,ROUNDDOWN(F48/$E$243*$I$243,0),0)+IF($F$243&gt;0,ROUNDDOWN(G48/$F$243*$I$243,0),0)+IF($G$243&gt;0,ROUNDDOWN(H48/$G$243*$I$243,0),0))</f>
        <v>0</v>
      </c>
      <c r="F59" s="59">
        <f>IFERROR(ROUNDUP(D48/$J$243,0),0)</f>
        <v>1</v>
      </c>
      <c r="G59" s="29">
        <f>IF(AND($C$13=$C$160,D48&gt;20),0.5,0)</f>
        <v>0</v>
      </c>
      <c r="H59" s="60"/>
      <c r="I59" s="29">
        <f>IF(AND($C$13=$C$160,D48&gt;29),0.5,IF(AND($C$13=$C$160,D48&gt;19),0.3,0))</f>
        <v>0</v>
      </c>
      <c r="J59" s="35"/>
      <c r="K59" s="61">
        <f>+IF($C$13=$C$160,ROUNDUP(D48*(IF(I48&gt;5,1,0)+IF(J48&gt;5,1,0)+IF(K48&gt;5,1,0)+IF(L48&gt;5,1,0)+IF(M48&gt;5,1,0)+IF(N48&gt;5,1,0)+IF(O48&gt;5,1,0))*Q48*4.333,0),0)</f>
        <v>1690</v>
      </c>
      <c r="L59" s="62">
        <v>4</v>
      </c>
      <c r="M59" s="63"/>
    </row>
    <row r="60" spans="1:44" x14ac:dyDescent="0.35">
      <c r="B60" s="57"/>
      <c r="C60" s="58"/>
      <c r="D60" s="29"/>
      <c r="E60" s="6"/>
      <c r="F60" s="59"/>
      <c r="G60" s="29">
        <f>IF(AND($C$13=$C$160,D49&gt;20),0.5,0)</f>
        <v>0</v>
      </c>
      <c r="H60" s="60"/>
      <c r="I60" s="29"/>
      <c r="J60" s="35"/>
      <c r="K60" s="61"/>
      <c r="L60" s="62"/>
      <c r="M60" s="63"/>
    </row>
    <row r="61" spans="1:44" x14ac:dyDescent="0.35">
      <c r="B61" s="57"/>
      <c r="C61" s="58"/>
      <c r="D61" s="29"/>
      <c r="E61" s="6"/>
      <c r="F61" s="59"/>
      <c r="G61" s="29">
        <f>IF(AND($C$13=$C$160,D50&gt;20),0.5,0)</f>
        <v>0</v>
      </c>
      <c r="H61" s="60"/>
      <c r="I61" s="29"/>
      <c r="J61" s="35"/>
      <c r="K61" s="61"/>
      <c r="L61" s="62"/>
      <c r="M61" s="63"/>
    </row>
    <row r="62" spans="1:44" x14ac:dyDescent="0.35">
      <c r="B62" s="57"/>
      <c r="C62" s="58"/>
      <c r="D62" s="29"/>
      <c r="E62" s="6"/>
      <c r="F62" s="59"/>
      <c r="G62" s="64">
        <f>IF(AND($C$13=$C$160,D51&gt;20),0.5,0)</f>
        <v>0</v>
      </c>
      <c r="H62" s="65"/>
      <c r="I62" s="64"/>
      <c r="J62" s="41"/>
      <c r="K62" s="66"/>
      <c r="L62" s="67"/>
      <c r="M62" s="68"/>
    </row>
    <row r="66" spans="2:47" x14ac:dyDescent="0.35">
      <c r="B66" s="6" t="s">
        <v>79</v>
      </c>
      <c r="C66" s="69" t="s">
        <v>64</v>
      </c>
    </row>
    <row r="67" spans="2:47" ht="29" x14ac:dyDescent="0.35">
      <c r="B67" s="70" t="s">
        <v>80</v>
      </c>
      <c r="C67" s="71">
        <v>0.08</v>
      </c>
      <c r="D67" s="72" t="str">
        <f>+IF(AND(C67&gt;0,C67&gt;0.15),"l'incidenza non può essere superiore al 15%","")</f>
        <v/>
      </c>
    </row>
    <row r="68" spans="2:47" x14ac:dyDescent="0.35">
      <c r="B68" s="6" t="s">
        <v>81</v>
      </c>
      <c r="C68" s="73">
        <f>+C67*(SUMPRODUCT(C56:C62,E56:E62)+SUMPRODUCT(C56:C62,F56:F62)+SUMPRODUCT(C56:C62,D56:D62))</f>
        <v>369.51823999999999</v>
      </c>
    </row>
    <row r="71" spans="2:47" x14ac:dyDescent="0.35">
      <c r="B71" s="6" t="s">
        <v>82</v>
      </c>
      <c r="C71" s="69" t="s">
        <v>64</v>
      </c>
    </row>
    <row r="72" spans="2:47" ht="29" x14ac:dyDescent="0.35">
      <c r="B72" s="70" t="s">
        <v>83</v>
      </c>
      <c r="C72" s="74">
        <v>0.08</v>
      </c>
      <c r="D72" s="72" t="str">
        <f>+IF(AND(C72&gt;0,C72&gt;0.08),"l'incidenza non può essere superiore all'8%","")</f>
        <v/>
      </c>
    </row>
    <row r="73" spans="2:47" ht="43.5" x14ac:dyDescent="0.35">
      <c r="B73" s="75" t="s">
        <v>84</v>
      </c>
      <c r="C73" s="74"/>
      <c r="D73" s="76" t="str">
        <f>+IF(AND(C73&gt;0,C73&gt;0.02),"l'incidenza non può essere superiore all'2%","")</f>
        <v/>
      </c>
    </row>
    <row r="75" spans="2:47" x14ac:dyDescent="0.35">
      <c r="J75" s="77"/>
      <c r="K75" s="77"/>
    </row>
    <row r="76" spans="2:47" s="3" customFormat="1" ht="43.5" x14ac:dyDescent="0.35">
      <c r="B76" s="78" t="s">
        <v>85</v>
      </c>
      <c r="C76" s="79"/>
      <c r="D76" s="80" t="str">
        <f>+IF(C76&gt;0.1,"Stando al CCNL, anche considerando un numero di ore maggiore di quello previsto mediamente dalle tabelle del Ministero del Lavoro, il costo/orario medio del personale non può essere ribassato di più che il 10%. ","")</f>
        <v/>
      </c>
      <c r="K76" s="77"/>
      <c r="L76" s="77"/>
      <c r="AS76" s="4"/>
    </row>
    <row r="77" spans="2:47" s="3" customFormat="1" x14ac:dyDescent="0.35">
      <c r="AU77" s="4"/>
    </row>
    <row r="78" spans="2:47" s="3" customFormat="1" ht="43.5" x14ac:dyDescent="0.35">
      <c r="B78" s="70" t="s">
        <v>86</v>
      </c>
      <c r="C78" s="69" t="s">
        <v>87</v>
      </c>
      <c r="AU78" s="4"/>
    </row>
    <row r="79" spans="2:47" s="3" customFormat="1" x14ac:dyDescent="0.35">
      <c r="C79" s="81"/>
      <c r="D79" s="81"/>
      <c r="AU79" s="4"/>
    </row>
    <row r="80" spans="2:47" s="3" customFormat="1" x14ac:dyDescent="0.35">
      <c r="C80" s="81"/>
      <c r="D80" s="81"/>
      <c r="AU80" s="4"/>
    </row>
    <row r="81" spans="1:47" s="3" customFormat="1" x14ac:dyDescent="0.35">
      <c r="B81" s="70" t="s">
        <v>88</v>
      </c>
      <c r="C81" s="82">
        <v>0.05</v>
      </c>
      <c r="D81" s="81"/>
      <c r="AU81" s="4"/>
    </row>
    <row r="82" spans="1:47" s="3" customFormat="1" x14ac:dyDescent="0.35">
      <c r="AU82" s="4"/>
    </row>
    <row r="83" spans="1:47" s="3" customFormat="1" x14ac:dyDescent="0.35">
      <c r="AU83" s="4"/>
    </row>
    <row r="84" spans="1:47" s="3" customFormat="1" x14ac:dyDescent="0.35">
      <c r="A84" s="83" t="s">
        <v>89</v>
      </c>
      <c r="B84" s="84"/>
      <c r="C84" s="84"/>
      <c r="AS84" s="4"/>
    </row>
    <row r="85" spans="1:47" s="3" customFormat="1" x14ac:dyDescent="0.35">
      <c r="B85" s="5"/>
      <c r="D85" s="308" t="s">
        <v>90</v>
      </c>
      <c r="E85" s="308"/>
      <c r="F85" s="308"/>
      <c r="AD85" s="4"/>
    </row>
    <row r="86" spans="1:47" s="3" customFormat="1" x14ac:dyDescent="0.35">
      <c r="B86" s="5"/>
      <c r="D86" s="85" t="s">
        <v>91</v>
      </c>
      <c r="E86" s="86" t="s">
        <v>92</v>
      </c>
      <c r="F86" s="87" t="s">
        <v>93</v>
      </c>
      <c r="AD86" s="4"/>
    </row>
    <row r="87" spans="1:47" s="3" customFormat="1" ht="43.5" x14ac:dyDescent="0.35">
      <c r="B87" s="88" t="s">
        <v>44</v>
      </c>
      <c r="C87" s="88" t="s">
        <v>45</v>
      </c>
      <c r="D87" s="89">
        <v>4</v>
      </c>
      <c r="E87" s="90">
        <v>6</v>
      </c>
      <c r="F87" s="91">
        <v>1</v>
      </c>
      <c r="G87" s="92" t="s">
        <v>94</v>
      </c>
      <c r="H87" s="93" t="s">
        <v>95</v>
      </c>
      <c r="I87" s="93" t="s">
        <v>96</v>
      </c>
      <c r="J87" s="93" t="s">
        <v>97</v>
      </c>
      <c r="K87" s="93" t="s">
        <v>98</v>
      </c>
      <c r="L87" s="93" t="s">
        <v>99</v>
      </c>
      <c r="AB87" s="94" t="s">
        <v>100</v>
      </c>
      <c r="AC87" s="94" t="s">
        <v>101</v>
      </c>
      <c r="AD87" s="4"/>
    </row>
    <row r="88" spans="1:47" s="3" customFormat="1" x14ac:dyDescent="0.35">
      <c r="B88" s="70"/>
      <c r="C88" s="70"/>
      <c r="D88" s="95"/>
      <c r="E88" s="96"/>
      <c r="F88" s="97"/>
      <c r="G88" s="98">
        <f t="shared" ref="G88:G94" si="0">+SUM(D88:F88)</f>
        <v>0</v>
      </c>
      <c r="H88" s="99">
        <f t="shared" ref="H88:H94" si="1">+((C56*D56*$F$135+C56*E56*$F$136+C56*F56*$F$137+C56*J56*$F$138+H56*C56*$F$139+SUM(D56:F56)*C56*$C$67*$F$134)*(1+$C$72)+K56*L56)*IF($H$143&gt;0,1+$C$81,1)</f>
        <v>0</v>
      </c>
      <c r="I88" s="99">
        <f t="shared" ref="I88:I94" si="2">+((AB88*D56*$F$135+AB88*E56*$F$136+AB88*F56*$F$137+AB88*J56*$F$138+H56*AB88*$F$139+SUM(D56:F56)*AB88*$C$67*$F$134)*($C$73))*IF($H$143&gt;0,1+$C$81,1)</f>
        <v>0</v>
      </c>
      <c r="J88" s="99">
        <f t="shared" ref="J88:J94" si="3">+I88+H88</f>
        <v>0</v>
      </c>
      <c r="K88" s="99">
        <f t="shared" ref="K88:K94" si="4">+((C56*D56*$F$135+C56*E56*$F$136+C56*F56*$F$137+C56*J56*$F$138+H56*C56*$F$139+SUM(D56:F56)*C56*$C$67*$F$134)*(1+$C$72)+K56*L56)*IF($H$143&gt;0,1+$C$81,1)-R45*Q45*D45-IF(OR($C$25=$C$196,$C$25=$C$195),M56,0)</f>
        <v>0</v>
      </c>
      <c r="L88" s="99">
        <f t="shared" ref="L88:L94" si="5">+K88+I88</f>
        <v>0</v>
      </c>
      <c r="AB88" s="100">
        <f t="shared" ref="AB88:AB94" si="6">+SUM(I45:O45)*SUM(D88:F88)*4.333</f>
        <v>0</v>
      </c>
      <c r="AC88" s="100">
        <f t="shared" ref="AC88:AC94" si="7">+((AB88*D56*$F$135+AB88*E56*$F$136+AB88*F56*$F$137+AB88*J56*$F$138+H56*AB88*$F$139+SUM(D56:F56)*AB88*$C$67*$F$134)*($C$73))</f>
        <v>0</v>
      </c>
      <c r="AD88" s="4"/>
    </row>
    <row r="89" spans="1:47" s="3" customFormat="1" x14ac:dyDescent="0.35">
      <c r="B89" s="70"/>
      <c r="C89" s="70"/>
      <c r="D89" s="95"/>
      <c r="E89" s="96"/>
      <c r="F89" s="97"/>
      <c r="G89" s="98">
        <f t="shared" si="0"/>
        <v>0</v>
      </c>
      <c r="H89" s="99">
        <f t="shared" si="1"/>
        <v>0</v>
      </c>
      <c r="I89" s="99">
        <f t="shared" si="2"/>
        <v>0</v>
      </c>
      <c r="J89" s="99">
        <f t="shared" si="3"/>
        <v>0</v>
      </c>
      <c r="K89" s="99">
        <f t="shared" si="4"/>
        <v>0</v>
      </c>
      <c r="L89" s="99">
        <f t="shared" si="5"/>
        <v>0</v>
      </c>
      <c r="AB89" s="100">
        <f t="shared" si="6"/>
        <v>0</v>
      </c>
      <c r="AC89" s="100">
        <f t="shared" si="7"/>
        <v>0</v>
      </c>
      <c r="AD89" s="4"/>
    </row>
    <row r="90" spans="1:47" s="3" customFormat="1" x14ac:dyDescent="0.35">
      <c r="B90" s="70" t="str">
        <f t="shared" ref="B90:C94" si="8">+B47</f>
        <v>Erchie</v>
      </c>
      <c r="C90" s="70" t="str">
        <f t="shared" si="8"/>
        <v>Servizio di nuova istituzione/utenti aggiuntivi</v>
      </c>
      <c r="D90" s="95">
        <v>0</v>
      </c>
      <c r="E90" s="96">
        <v>5.5</v>
      </c>
      <c r="F90" s="97">
        <v>1</v>
      </c>
      <c r="G90" s="98">
        <f t="shared" si="0"/>
        <v>6.5</v>
      </c>
      <c r="H90" s="99">
        <f t="shared" si="1"/>
        <v>60006.764338357199</v>
      </c>
      <c r="I90" s="99">
        <f t="shared" si="2"/>
        <v>0</v>
      </c>
      <c r="J90" s="99">
        <f t="shared" si="3"/>
        <v>60006.764338357199</v>
      </c>
      <c r="K90" s="99">
        <f t="shared" si="4"/>
        <v>60006.764338357199</v>
      </c>
      <c r="L90" s="99">
        <f t="shared" si="5"/>
        <v>60006.764338357199</v>
      </c>
      <c r="AB90" s="100">
        <f t="shared" si="6"/>
        <v>1154.7445</v>
      </c>
      <c r="AC90" s="100">
        <f t="shared" si="7"/>
        <v>0</v>
      </c>
      <c r="AD90" s="4"/>
    </row>
    <row r="91" spans="1:47" s="3" customFormat="1" x14ac:dyDescent="0.35">
      <c r="B91" s="70" t="str">
        <f t="shared" si="8"/>
        <v>San Pietro Vernotico</v>
      </c>
      <c r="C91" s="70" t="str">
        <f t="shared" si="8"/>
        <v>Servizio di nuova istituzione/utenti aggiuntivi</v>
      </c>
      <c r="D91" s="95">
        <v>0</v>
      </c>
      <c r="E91" s="96">
        <v>5.5</v>
      </c>
      <c r="F91" s="97">
        <v>1</v>
      </c>
      <c r="G91" s="98">
        <f t="shared" si="0"/>
        <v>6.5</v>
      </c>
      <c r="H91" s="99">
        <f t="shared" si="1"/>
        <v>60006.764338357199</v>
      </c>
      <c r="I91" s="99">
        <f t="shared" si="2"/>
        <v>0</v>
      </c>
      <c r="J91" s="99">
        <f t="shared" si="3"/>
        <v>60006.764338357199</v>
      </c>
      <c r="K91" s="99">
        <f t="shared" si="4"/>
        <v>60006.764338357199</v>
      </c>
      <c r="L91" s="99">
        <f t="shared" si="5"/>
        <v>60006.764338357199</v>
      </c>
      <c r="AB91" s="100">
        <f t="shared" si="6"/>
        <v>1154.7445</v>
      </c>
      <c r="AC91" s="100">
        <f t="shared" si="7"/>
        <v>0</v>
      </c>
      <c r="AD91" s="4"/>
    </row>
    <row r="92" spans="1:47" s="3" customFormat="1" x14ac:dyDescent="0.35">
      <c r="B92" s="70">
        <f t="shared" si="8"/>
        <v>0</v>
      </c>
      <c r="C92" s="70">
        <f t="shared" si="8"/>
        <v>0</v>
      </c>
      <c r="D92" s="95"/>
      <c r="E92" s="96"/>
      <c r="F92" s="97"/>
      <c r="G92" s="98">
        <f t="shared" si="0"/>
        <v>0</v>
      </c>
      <c r="H92" s="99">
        <f t="shared" si="1"/>
        <v>0</v>
      </c>
      <c r="I92" s="99">
        <f t="shared" si="2"/>
        <v>0</v>
      </c>
      <c r="J92" s="99">
        <f t="shared" si="3"/>
        <v>0</v>
      </c>
      <c r="K92" s="99">
        <f t="shared" si="4"/>
        <v>0</v>
      </c>
      <c r="L92" s="99">
        <f t="shared" si="5"/>
        <v>0</v>
      </c>
      <c r="AB92" s="100">
        <f t="shared" si="6"/>
        <v>0</v>
      </c>
      <c r="AC92" s="100">
        <f t="shared" si="7"/>
        <v>0</v>
      </c>
      <c r="AD92" s="4"/>
    </row>
    <row r="93" spans="1:47" s="3" customFormat="1" x14ac:dyDescent="0.35">
      <c r="B93" s="70">
        <f t="shared" si="8"/>
        <v>0</v>
      </c>
      <c r="C93" s="70">
        <f t="shared" si="8"/>
        <v>0</v>
      </c>
      <c r="D93" s="95"/>
      <c r="E93" s="96"/>
      <c r="F93" s="97"/>
      <c r="G93" s="98">
        <f t="shared" si="0"/>
        <v>0</v>
      </c>
      <c r="H93" s="99">
        <f t="shared" si="1"/>
        <v>0</v>
      </c>
      <c r="I93" s="99">
        <f t="shared" si="2"/>
        <v>0</v>
      </c>
      <c r="J93" s="99">
        <f t="shared" si="3"/>
        <v>0</v>
      </c>
      <c r="K93" s="99">
        <f t="shared" si="4"/>
        <v>0</v>
      </c>
      <c r="L93" s="99">
        <f t="shared" si="5"/>
        <v>0</v>
      </c>
      <c r="AB93" s="100">
        <f t="shared" si="6"/>
        <v>0</v>
      </c>
      <c r="AC93" s="100">
        <f t="shared" si="7"/>
        <v>0</v>
      </c>
      <c r="AD93" s="4"/>
    </row>
    <row r="94" spans="1:47" s="3" customFormat="1" x14ac:dyDescent="0.35">
      <c r="B94" s="70">
        <f t="shared" si="8"/>
        <v>0</v>
      </c>
      <c r="C94" s="70">
        <f t="shared" si="8"/>
        <v>0</v>
      </c>
      <c r="D94" s="101"/>
      <c r="E94" s="102"/>
      <c r="F94" s="103"/>
      <c r="G94" s="98">
        <f t="shared" si="0"/>
        <v>0</v>
      </c>
      <c r="H94" s="99">
        <f t="shared" si="1"/>
        <v>0</v>
      </c>
      <c r="I94" s="99">
        <f t="shared" si="2"/>
        <v>0</v>
      </c>
      <c r="J94" s="99">
        <f t="shared" si="3"/>
        <v>0</v>
      </c>
      <c r="K94" s="99">
        <f t="shared" si="4"/>
        <v>0</v>
      </c>
      <c r="L94" s="99">
        <f t="shared" si="5"/>
        <v>0</v>
      </c>
      <c r="M94" s="3" t="s">
        <v>102</v>
      </c>
      <c r="N94" s="3" t="s">
        <v>103</v>
      </c>
      <c r="AB94" s="100">
        <f t="shared" si="6"/>
        <v>0</v>
      </c>
      <c r="AC94" s="100">
        <f t="shared" si="7"/>
        <v>0</v>
      </c>
      <c r="AD94" s="4"/>
    </row>
    <row r="95" spans="1:47" s="3" customFormat="1" x14ac:dyDescent="0.35">
      <c r="M95" s="104">
        <f>+SUM(J88:J94)</f>
        <v>120013.5286767144</v>
      </c>
      <c r="N95" s="104">
        <f>+SUM(L88:L94)</f>
        <v>120013.5286767144</v>
      </c>
      <c r="AD95" s="4"/>
    </row>
    <row r="96" spans="1:47" s="3" customFormat="1" x14ac:dyDescent="0.35">
      <c r="K96" s="77"/>
      <c r="L96" s="77"/>
      <c r="M96" s="77"/>
      <c r="AD96" s="4"/>
    </row>
    <row r="97" spans="2:30" s="3" customFormat="1" x14ac:dyDescent="0.35">
      <c r="B97" s="5" t="s">
        <v>104</v>
      </c>
      <c r="D97" s="308" t="s">
        <v>90</v>
      </c>
      <c r="E97" s="308"/>
      <c r="F97" s="308"/>
      <c r="G97" s="77"/>
      <c r="H97" s="77"/>
      <c r="I97" s="77"/>
      <c r="J97" s="77"/>
      <c r="AD97" s="4"/>
    </row>
    <row r="98" spans="2:30" s="3" customFormat="1" x14ac:dyDescent="0.35">
      <c r="B98" s="5"/>
      <c r="D98" s="85" t="s">
        <v>91</v>
      </c>
      <c r="E98" s="86" t="s">
        <v>92</v>
      </c>
      <c r="F98" s="87" t="s">
        <v>105</v>
      </c>
      <c r="G98" s="77"/>
      <c r="H98" s="77"/>
      <c r="I98" s="77"/>
      <c r="J98" s="77"/>
      <c r="AD98" s="4"/>
    </row>
    <row r="99" spans="2:30" s="3" customFormat="1" x14ac:dyDescent="0.35">
      <c r="B99" s="70">
        <f t="shared" ref="B99:C105" si="9">+B88</f>
        <v>0</v>
      </c>
      <c r="C99" s="105">
        <f t="shared" si="9"/>
        <v>0</v>
      </c>
      <c r="D99" s="106">
        <f t="shared" ref="D99:F105" si="10">+IF($H88&gt;0,D88*$H88/$G88,0)+IF($I88&gt;0,D88*$I88/SUM($D88:$F88),0)</f>
        <v>0</v>
      </c>
      <c r="E99" s="99">
        <f t="shared" si="10"/>
        <v>0</v>
      </c>
      <c r="F99" s="107">
        <f t="shared" si="10"/>
        <v>0</v>
      </c>
      <c r="G99" s="77"/>
      <c r="H99" s="77"/>
      <c r="I99" s="77"/>
      <c r="J99" s="77"/>
      <c r="AD99" s="4"/>
    </row>
    <row r="100" spans="2:30" s="3" customFormat="1" x14ac:dyDescent="0.35">
      <c r="B100" s="70">
        <f t="shared" si="9"/>
        <v>0</v>
      </c>
      <c r="C100" s="105">
        <f t="shared" si="9"/>
        <v>0</v>
      </c>
      <c r="D100" s="106">
        <f t="shared" si="10"/>
        <v>0</v>
      </c>
      <c r="E100" s="99">
        <f t="shared" si="10"/>
        <v>0</v>
      </c>
      <c r="F100" s="107">
        <f t="shared" si="10"/>
        <v>0</v>
      </c>
      <c r="G100" s="77"/>
      <c r="H100" s="77"/>
      <c r="I100" s="77"/>
      <c r="J100" s="77"/>
      <c r="AD100" s="4"/>
    </row>
    <row r="101" spans="2:30" s="3" customFormat="1" x14ac:dyDescent="0.35">
      <c r="B101" s="70" t="str">
        <f t="shared" si="9"/>
        <v>Erchie</v>
      </c>
      <c r="C101" s="105" t="str">
        <f t="shared" si="9"/>
        <v>Servizio di nuova istituzione/utenti aggiuntivi</v>
      </c>
      <c r="D101" s="106">
        <f t="shared" si="10"/>
        <v>0</v>
      </c>
      <c r="E101" s="99">
        <f t="shared" si="10"/>
        <v>50774.954440148402</v>
      </c>
      <c r="F101" s="107">
        <f t="shared" si="10"/>
        <v>9231.8098982087995</v>
      </c>
      <c r="G101" s="77"/>
      <c r="H101" s="77"/>
      <c r="I101" s="77"/>
      <c r="J101" s="77"/>
      <c r="AD101" s="4"/>
    </row>
    <row r="102" spans="2:30" s="3" customFormat="1" x14ac:dyDescent="0.35">
      <c r="B102" s="70" t="str">
        <f t="shared" si="9"/>
        <v>San Pietro Vernotico</v>
      </c>
      <c r="C102" s="105" t="str">
        <f t="shared" si="9"/>
        <v>Servizio di nuova istituzione/utenti aggiuntivi</v>
      </c>
      <c r="D102" s="106">
        <f t="shared" si="10"/>
        <v>0</v>
      </c>
      <c r="E102" s="99">
        <f t="shared" si="10"/>
        <v>50774.954440148402</v>
      </c>
      <c r="F102" s="107">
        <f t="shared" si="10"/>
        <v>9231.8098982087995</v>
      </c>
      <c r="G102" s="77"/>
      <c r="H102" s="77"/>
      <c r="I102" s="77"/>
      <c r="J102" s="77"/>
      <c r="AD102" s="4"/>
    </row>
    <row r="103" spans="2:30" s="3" customFormat="1" x14ac:dyDescent="0.35">
      <c r="B103" s="70">
        <f t="shared" si="9"/>
        <v>0</v>
      </c>
      <c r="C103" s="105">
        <f t="shared" si="9"/>
        <v>0</v>
      </c>
      <c r="D103" s="106">
        <f t="shared" si="10"/>
        <v>0</v>
      </c>
      <c r="E103" s="99">
        <f t="shared" si="10"/>
        <v>0</v>
      </c>
      <c r="F103" s="107">
        <f t="shared" si="10"/>
        <v>0</v>
      </c>
      <c r="G103" s="77"/>
      <c r="H103" s="77"/>
      <c r="I103" s="77"/>
      <c r="J103" s="77"/>
      <c r="AD103" s="4"/>
    </row>
    <row r="104" spans="2:30" s="3" customFormat="1" x14ac:dyDescent="0.35">
      <c r="B104" s="70">
        <f t="shared" si="9"/>
        <v>0</v>
      </c>
      <c r="C104" s="105">
        <f t="shared" si="9"/>
        <v>0</v>
      </c>
      <c r="D104" s="106">
        <f t="shared" si="10"/>
        <v>0</v>
      </c>
      <c r="E104" s="99">
        <f t="shared" si="10"/>
        <v>0</v>
      </c>
      <c r="F104" s="107">
        <f t="shared" si="10"/>
        <v>0</v>
      </c>
      <c r="G104" s="77"/>
      <c r="H104" s="77"/>
      <c r="I104" s="77"/>
      <c r="J104" s="77"/>
      <c r="AD104" s="4"/>
    </row>
    <row r="105" spans="2:30" s="3" customFormat="1" x14ac:dyDescent="0.35">
      <c r="B105" s="70">
        <f t="shared" si="9"/>
        <v>0</v>
      </c>
      <c r="C105" s="105">
        <f t="shared" si="9"/>
        <v>0</v>
      </c>
      <c r="D105" s="108">
        <f t="shared" si="10"/>
        <v>0</v>
      </c>
      <c r="E105" s="109">
        <f t="shared" si="10"/>
        <v>0</v>
      </c>
      <c r="F105" s="110">
        <f t="shared" si="10"/>
        <v>0</v>
      </c>
      <c r="G105" s="77"/>
      <c r="H105" s="77"/>
      <c r="I105" s="77"/>
      <c r="J105" s="77"/>
      <c r="AD105" s="4"/>
    </row>
    <row r="106" spans="2:30" s="3" customFormat="1" x14ac:dyDescent="0.35">
      <c r="D106" s="77">
        <f>+SUM(D99:D105)</f>
        <v>0</v>
      </c>
      <c r="E106" s="77">
        <f>+SUM(E99:E105)</f>
        <v>101549.9088802968</v>
      </c>
      <c r="F106" s="77">
        <f>+SUM(F99:F105)</f>
        <v>18463.619796417599</v>
      </c>
      <c r="G106" s="77"/>
      <c r="H106" s="77"/>
      <c r="I106" s="77"/>
      <c r="J106" s="77"/>
      <c r="AD106" s="4"/>
    </row>
    <row r="107" spans="2:30" s="3" customFormat="1" x14ac:dyDescent="0.35">
      <c r="K107" s="77"/>
      <c r="L107" s="77"/>
      <c r="M107" s="77"/>
      <c r="AD107" s="4"/>
    </row>
    <row r="108" spans="2:30" s="3" customFormat="1" x14ac:dyDescent="0.35">
      <c r="K108" s="77"/>
      <c r="L108" s="77"/>
      <c r="M108" s="77"/>
      <c r="AD108" s="4"/>
    </row>
    <row r="109" spans="2:30" s="3" customFormat="1" x14ac:dyDescent="0.35">
      <c r="B109" s="5" t="s">
        <v>106</v>
      </c>
      <c r="D109" s="308" t="s">
        <v>90</v>
      </c>
      <c r="E109" s="308"/>
      <c r="F109" s="308"/>
      <c r="G109" s="77"/>
      <c r="H109" s="77"/>
      <c r="I109" s="77"/>
      <c r="J109" s="77"/>
      <c r="AD109" s="4"/>
    </row>
    <row r="110" spans="2:30" s="3" customFormat="1" x14ac:dyDescent="0.35">
      <c r="B110" s="5"/>
      <c r="D110" s="85" t="s">
        <v>91</v>
      </c>
      <c r="E110" s="86" t="s">
        <v>92</v>
      </c>
      <c r="F110" s="87" t="s">
        <v>105</v>
      </c>
      <c r="G110" s="77"/>
      <c r="H110" s="77"/>
      <c r="I110" s="77"/>
      <c r="J110" s="77"/>
      <c r="AD110" s="4"/>
    </row>
    <row r="111" spans="2:30" s="3" customFormat="1" x14ac:dyDescent="0.35">
      <c r="B111" s="70">
        <f t="shared" ref="B111:C117" si="11">+B99</f>
        <v>0</v>
      </c>
      <c r="C111" s="105">
        <f t="shared" si="11"/>
        <v>0</v>
      </c>
      <c r="D111" s="106">
        <f t="shared" ref="D111:F117" si="12">+IF($K88&gt;0,D88*$K88/$G88,0)+IF($I88&gt;0,D88*$I88/SUM($D88:$F88),0)</f>
        <v>0</v>
      </c>
      <c r="E111" s="99">
        <f t="shared" si="12"/>
        <v>0</v>
      </c>
      <c r="F111" s="107">
        <f t="shared" si="12"/>
        <v>0</v>
      </c>
      <c r="G111" s="77"/>
      <c r="H111" s="77"/>
      <c r="I111" s="77"/>
      <c r="J111" s="77"/>
      <c r="AD111" s="4"/>
    </row>
    <row r="112" spans="2:30" s="3" customFormat="1" x14ac:dyDescent="0.35">
      <c r="B112" s="70">
        <f t="shared" si="11"/>
        <v>0</v>
      </c>
      <c r="C112" s="105">
        <f t="shared" si="11"/>
        <v>0</v>
      </c>
      <c r="D112" s="106">
        <f t="shared" si="12"/>
        <v>0</v>
      </c>
      <c r="E112" s="99">
        <f t="shared" si="12"/>
        <v>0</v>
      </c>
      <c r="F112" s="107">
        <f t="shared" si="12"/>
        <v>0</v>
      </c>
      <c r="G112" s="77"/>
      <c r="H112" s="77"/>
      <c r="I112" s="77"/>
      <c r="J112" s="77"/>
      <c r="AD112" s="4"/>
    </row>
    <row r="113" spans="1:47" s="3" customFormat="1" x14ac:dyDescent="0.35">
      <c r="B113" s="70" t="str">
        <f t="shared" si="11"/>
        <v>Erchie</v>
      </c>
      <c r="C113" s="105" t="str">
        <f t="shared" si="11"/>
        <v>Servizio di nuova istituzione/utenti aggiuntivi</v>
      </c>
      <c r="D113" s="106">
        <f t="shared" si="12"/>
        <v>0</v>
      </c>
      <c r="E113" s="99">
        <f t="shared" si="12"/>
        <v>50774.954440148402</v>
      </c>
      <c r="F113" s="107">
        <f t="shared" si="12"/>
        <v>9231.8098982087995</v>
      </c>
      <c r="G113" s="77"/>
      <c r="H113" s="77"/>
      <c r="I113" s="77"/>
      <c r="J113" s="77"/>
      <c r="AD113" s="4"/>
    </row>
    <row r="114" spans="1:47" s="3" customFormat="1" x14ac:dyDescent="0.35">
      <c r="B114" s="70" t="str">
        <f t="shared" si="11"/>
        <v>San Pietro Vernotico</v>
      </c>
      <c r="C114" s="105" t="str">
        <f t="shared" si="11"/>
        <v>Servizio di nuova istituzione/utenti aggiuntivi</v>
      </c>
      <c r="D114" s="106">
        <f t="shared" si="12"/>
        <v>0</v>
      </c>
      <c r="E114" s="99">
        <f t="shared" si="12"/>
        <v>50774.954440148402</v>
      </c>
      <c r="F114" s="107">
        <f t="shared" si="12"/>
        <v>9231.8098982087995</v>
      </c>
      <c r="G114" s="77"/>
      <c r="H114" s="77"/>
      <c r="I114" s="77"/>
      <c r="J114" s="77"/>
      <c r="AD114" s="4"/>
    </row>
    <row r="115" spans="1:47" s="3" customFormat="1" x14ac:dyDescent="0.35">
      <c r="B115" s="70">
        <f t="shared" si="11"/>
        <v>0</v>
      </c>
      <c r="C115" s="105">
        <f t="shared" si="11"/>
        <v>0</v>
      </c>
      <c r="D115" s="106">
        <f t="shared" si="12"/>
        <v>0</v>
      </c>
      <c r="E115" s="99">
        <f t="shared" si="12"/>
        <v>0</v>
      </c>
      <c r="F115" s="107">
        <f t="shared" si="12"/>
        <v>0</v>
      </c>
      <c r="G115" s="77"/>
      <c r="H115" s="77"/>
      <c r="I115" s="77"/>
      <c r="J115" s="77"/>
      <c r="AD115" s="4"/>
    </row>
    <row r="116" spans="1:47" s="3" customFormat="1" x14ac:dyDescent="0.35">
      <c r="B116" s="70">
        <f t="shared" si="11"/>
        <v>0</v>
      </c>
      <c r="C116" s="105">
        <f t="shared" si="11"/>
        <v>0</v>
      </c>
      <c r="D116" s="106">
        <f t="shared" si="12"/>
        <v>0</v>
      </c>
      <c r="E116" s="99">
        <f t="shared" si="12"/>
        <v>0</v>
      </c>
      <c r="F116" s="107">
        <f t="shared" si="12"/>
        <v>0</v>
      </c>
      <c r="G116" s="77"/>
      <c r="H116" s="77"/>
      <c r="I116" s="77"/>
      <c r="J116" s="77"/>
      <c r="AD116" s="4"/>
    </row>
    <row r="117" spans="1:47" s="3" customFormat="1" x14ac:dyDescent="0.35">
      <c r="B117" s="70">
        <f t="shared" si="11"/>
        <v>0</v>
      </c>
      <c r="C117" s="105">
        <f t="shared" si="11"/>
        <v>0</v>
      </c>
      <c r="D117" s="108">
        <f t="shared" si="12"/>
        <v>0</v>
      </c>
      <c r="E117" s="109">
        <f t="shared" si="12"/>
        <v>0</v>
      </c>
      <c r="F117" s="110">
        <f t="shared" si="12"/>
        <v>0</v>
      </c>
      <c r="G117" s="77"/>
      <c r="H117" s="77"/>
      <c r="I117" s="77"/>
      <c r="J117" s="77"/>
      <c r="AD117" s="4"/>
    </row>
    <row r="118" spans="1:47" s="3" customFormat="1" x14ac:dyDescent="0.35">
      <c r="D118" s="77">
        <f>+SUM(D111:D117)</f>
        <v>0</v>
      </c>
      <c r="E118" s="77">
        <f>+SUM(E111:E117)</f>
        <v>101549.9088802968</v>
      </c>
      <c r="F118" s="77">
        <f>+SUM(F111:F117)</f>
        <v>18463.619796417599</v>
      </c>
      <c r="G118" s="77"/>
      <c r="H118" s="77"/>
      <c r="I118" s="77"/>
      <c r="J118" s="77"/>
      <c r="AD118" s="4"/>
    </row>
    <row r="119" spans="1:47" s="3" customFormat="1" x14ac:dyDescent="0.35">
      <c r="D119" s="77"/>
      <c r="E119" s="77"/>
      <c r="F119" s="77"/>
      <c r="G119" s="77"/>
      <c r="H119" s="77"/>
      <c r="I119" s="77"/>
      <c r="J119" s="77"/>
      <c r="K119" s="77"/>
      <c r="M119" s="77"/>
      <c r="N119" s="77"/>
      <c r="O119" s="77"/>
      <c r="P119" s="77"/>
      <c r="X119" s="77"/>
      <c r="Y119" s="77"/>
      <c r="Z119" s="77"/>
      <c r="AA119" s="77"/>
      <c r="AU119" s="4"/>
    </row>
    <row r="120" spans="1:47" s="3" customFormat="1" x14ac:dyDescent="0.35">
      <c r="A120" s="83" t="s">
        <v>107</v>
      </c>
      <c r="B120" s="84"/>
      <c r="C120" s="111"/>
      <c r="D120" s="111"/>
      <c r="E120" s="111"/>
      <c r="F120" s="77"/>
      <c r="G120" s="77"/>
      <c r="H120" s="77"/>
      <c r="I120" s="77"/>
      <c r="K120" s="77"/>
      <c r="M120" s="77"/>
      <c r="N120" s="77"/>
      <c r="O120" s="77"/>
      <c r="AU120" s="4"/>
    </row>
    <row r="121" spans="1:47" s="3" customFormat="1" x14ac:dyDescent="0.35">
      <c r="A121" s="84"/>
      <c r="B121" s="309"/>
      <c r="C121" s="309"/>
      <c r="D121" s="309"/>
      <c r="E121" s="111"/>
      <c r="F121" s="77"/>
      <c r="G121" s="77"/>
      <c r="H121" s="77"/>
      <c r="I121" s="77"/>
      <c r="K121" s="77"/>
      <c r="M121" s="77"/>
      <c r="N121" s="77"/>
      <c r="O121" s="77"/>
      <c r="AU121" s="4"/>
    </row>
    <row r="122" spans="1:47" s="3" customFormat="1" x14ac:dyDescent="0.35">
      <c r="A122" s="84"/>
      <c r="B122" s="310"/>
      <c r="C122" s="310"/>
      <c r="D122" s="112" t="s">
        <v>108</v>
      </c>
      <c r="E122" s="111"/>
      <c r="F122" s="77"/>
      <c r="G122" s="77"/>
      <c r="H122" s="77"/>
      <c r="I122" s="77"/>
      <c r="K122" s="77"/>
      <c r="M122" s="77"/>
      <c r="N122" s="77"/>
      <c r="O122" s="77"/>
      <c r="AU122" s="4"/>
    </row>
    <row r="123" spans="1:47" s="3" customFormat="1" x14ac:dyDescent="0.35">
      <c r="A123" s="84"/>
      <c r="B123" s="307" t="s">
        <v>109</v>
      </c>
      <c r="C123" s="307"/>
      <c r="D123" s="113">
        <v>44896</v>
      </c>
      <c r="E123" s="111"/>
      <c r="F123" s="77"/>
      <c r="G123" s="77"/>
      <c r="H123" s="77"/>
      <c r="I123" s="77"/>
      <c r="K123" s="77"/>
      <c r="M123" s="77"/>
      <c r="N123" s="77"/>
      <c r="O123" s="77"/>
      <c r="AU123" s="4"/>
    </row>
    <row r="124" spans="1:47" s="3" customFormat="1" x14ac:dyDescent="0.35">
      <c r="A124" s="84"/>
      <c r="B124" s="307" t="s">
        <v>110</v>
      </c>
      <c r="C124" s="307"/>
      <c r="D124" s="113">
        <v>44927</v>
      </c>
      <c r="E124" s="111"/>
      <c r="F124" s="77"/>
      <c r="G124" s="77"/>
      <c r="H124" s="77"/>
      <c r="I124" s="77"/>
      <c r="K124" s="77"/>
      <c r="M124" s="77"/>
      <c r="N124" s="77"/>
      <c r="O124" s="77"/>
      <c r="AU124" s="4"/>
    </row>
    <row r="125" spans="1:47" s="3" customFormat="1" x14ac:dyDescent="0.35">
      <c r="A125" s="84"/>
      <c r="B125" s="307" t="s">
        <v>111</v>
      </c>
      <c r="C125" s="307"/>
      <c r="D125" s="113">
        <v>44927</v>
      </c>
      <c r="E125" s="111"/>
      <c r="F125" s="77"/>
      <c r="G125" s="77"/>
      <c r="H125" s="77"/>
      <c r="I125" s="77"/>
      <c r="K125" s="77"/>
      <c r="M125" s="77"/>
      <c r="N125" s="77"/>
      <c r="O125" s="77"/>
      <c r="AU125" s="4"/>
    </row>
    <row r="126" spans="1:47" s="3" customFormat="1" x14ac:dyDescent="0.35">
      <c r="A126" s="84"/>
      <c r="B126" s="307" t="s">
        <v>112</v>
      </c>
      <c r="C126" s="307"/>
      <c r="D126" s="113">
        <v>45108</v>
      </c>
      <c r="E126" s="111"/>
      <c r="F126" s="77"/>
      <c r="G126" s="77"/>
      <c r="H126" s="77"/>
      <c r="I126" s="77"/>
      <c r="K126" s="77"/>
      <c r="M126" s="77"/>
      <c r="N126" s="77"/>
      <c r="O126" s="77"/>
      <c r="AU126" s="4"/>
    </row>
    <row r="127" spans="1:47" s="3" customFormat="1" x14ac:dyDescent="0.35">
      <c r="A127" s="84"/>
      <c r="B127" s="84"/>
      <c r="C127" s="111"/>
      <c r="D127" s="111"/>
      <c r="E127" s="111"/>
      <c r="F127" s="77"/>
      <c r="G127" s="77"/>
      <c r="H127" s="77"/>
      <c r="I127" s="77"/>
      <c r="K127" s="77"/>
      <c r="M127" s="77"/>
      <c r="N127" s="77"/>
      <c r="O127" s="77"/>
      <c r="AU127" s="4"/>
    </row>
    <row r="128" spans="1:47" s="3" customFormat="1" x14ac:dyDescent="0.35">
      <c r="A128" s="84"/>
      <c r="B128" s="84"/>
      <c r="C128" s="111"/>
      <c r="D128" s="111"/>
      <c r="E128" s="111"/>
      <c r="F128" s="77"/>
      <c r="G128" s="77"/>
      <c r="H128" s="77"/>
      <c r="I128" s="77"/>
      <c r="K128" s="77"/>
      <c r="M128" s="77"/>
      <c r="N128" s="77"/>
      <c r="O128" s="77"/>
      <c r="AU128" s="4"/>
    </row>
    <row r="129" spans="2:47" s="3" customFormat="1" x14ac:dyDescent="0.35">
      <c r="K129" s="77"/>
      <c r="M129" s="77"/>
      <c r="N129" s="77"/>
      <c r="O129" s="77"/>
      <c r="AU129" s="4"/>
    </row>
    <row r="130" spans="2:47" s="3" customFormat="1" x14ac:dyDescent="0.35">
      <c r="AU130" s="4"/>
    </row>
    <row r="131" spans="2:47" s="3" customFormat="1" x14ac:dyDescent="0.35">
      <c r="AU131" s="4"/>
    </row>
    <row r="132" spans="2:47" s="3" customFormat="1" x14ac:dyDescent="0.35">
      <c r="B132" s="88" t="s">
        <v>113</v>
      </c>
      <c r="C132" s="6"/>
      <c r="D132" s="6"/>
      <c r="E132" s="6"/>
      <c r="F132" s="6"/>
      <c r="G132" s="6"/>
      <c r="H132" s="6"/>
      <c r="AU132" s="4"/>
    </row>
    <row r="133" spans="2:47" s="5" customFormat="1" x14ac:dyDescent="0.35">
      <c r="B133" s="88"/>
      <c r="C133" s="114" t="s">
        <v>114</v>
      </c>
      <c r="D133" s="114" t="s">
        <v>115</v>
      </c>
      <c r="E133" s="114" t="s">
        <v>116</v>
      </c>
      <c r="F133" s="114" t="s">
        <v>117</v>
      </c>
      <c r="G133" s="114" t="s">
        <v>67</v>
      </c>
      <c r="H133" s="114" t="s">
        <v>118</v>
      </c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G133" s="5">
        <v>1</v>
      </c>
      <c r="AU133" s="11"/>
    </row>
    <row r="134" spans="2:47" s="3" customFormat="1" x14ac:dyDescent="0.35">
      <c r="B134" s="6" t="s">
        <v>119</v>
      </c>
      <c r="C134" s="6" t="str">
        <f>+C26</f>
        <v>CCNL Cooperative</v>
      </c>
      <c r="D134" s="6" t="str">
        <f>+IF(C134=$C$198,"D3/E1","D1")</f>
        <v>D3/E1</v>
      </c>
      <c r="E134" s="6"/>
      <c r="F134" s="116">
        <f>+INDEX('CCNL-appoggio'!$L$2:$L$24,MATCH(INPUT!D134,'CCNL-appoggio'!$K$2:$K$24,0))*IF($C$25=$C$196,1-$C$76,1)*IF($C$25=$C$193,1-$C$76,1)</f>
        <v>21.59</v>
      </c>
      <c r="G134" s="116">
        <f>+C68</f>
        <v>369.51823999999999</v>
      </c>
      <c r="H134" s="99">
        <f>+IF(C66=C202,G134*F134,0)</f>
        <v>7977.8988015999994</v>
      </c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  <c r="W134" s="117"/>
      <c r="X134" s="117"/>
      <c r="Y134" s="117"/>
      <c r="Z134" s="117"/>
      <c r="AA134" s="117"/>
      <c r="AB134" s="117"/>
      <c r="AC134" s="117"/>
      <c r="AD134" s="117"/>
      <c r="AE134" s="117"/>
      <c r="AG134" s="118">
        <f>+IF(H134&lt;&gt;0,MAX($AG$133:AG133)+1,0)</f>
        <v>2</v>
      </c>
      <c r="AH134" s="118"/>
      <c r="AI134" s="3" t="str">
        <f t="shared" ref="AI134:AI139" si="13">+B134 &amp; " - "&amp;C134&amp; " - " &amp;D134 &amp; " (costo orario " &amp; ROUND(F134,2) &amp; " €/ora)"</f>
        <v>Coordinatore - CCNL Cooperative - D3/E1 (costo orario 21,59 €/ora)</v>
      </c>
      <c r="AU134" s="4"/>
    </row>
    <row r="135" spans="2:47" s="3" customFormat="1" x14ac:dyDescent="0.35">
      <c r="B135" s="6" t="s">
        <v>120</v>
      </c>
      <c r="C135" s="6" t="str">
        <f>+C26</f>
        <v>CCNL Cooperative</v>
      </c>
      <c r="D135" s="6" t="str">
        <f>+IF(C135=$C$198,"D2","C1")</f>
        <v>D2</v>
      </c>
      <c r="E135" s="6"/>
      <c r="F135" s="116">
        <f>+INDEX('CCNL-appoggio'!$L$2:$L$24,MATCH(INPUT!D135,'CCNL-appoggio'!$K$2:$K$24,0))*IF($C$25=$C$196,1-$C$76,1)*IF($C$25=$C$193,1-$C$76,1)</f>
        <v>20.22</v>
      </c>
      <c r="G135" s="116">
        <f>+SUMPRODUCT(D56:D62,C56:C62)</f>
        <v>2309.489</v>
      </c>
      <c r="H135" s="99">
        <f>+G135*F135</f>
        <v>46697.867579999998</v>
      </c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/>
      <c r="AG135" s="118">
        <f>+IF(H135&lt;&gt;0,MAX($AG$133:AG134)+1,0)</f>
        <v>3</v>
      </c>
      <c r="AH135" s="118"/>
      <c r="AI135" s="3" t="str">
        <f t="shared" si="13"/>
        <v>Educatore Professionale - CCNL Cooperative - D2 (costo orario 20,22 €/ora)</v>
      </c>
      <c r="AU135" s="4"/>
    </row>
    <row r="136" spans="2:47" s="3" customFormat="1" x14ac:dyDescent="0.35">
      <c r="B136" s="6" t="s">
        <v>121</v>
      </c>
      <c r="C136" s="6" t="str">
        <f>+C26</f>
        <v>CCNL Cooperative</v>
      </c>
      <c r="D136" s="6" t="str">
        <f>+IF(C136=$C$198,"C3/D1","C1")</f>
        <v>C3/D1</v>
      </c>
      <c r="E136" s="6"/>
      <c r="F136" s="116">
        <f>+INDEX('CCNL-appoggio'!$L$2:$L$24,MATCH(INPUT!D136,'CCNL-appoggio'!$K$2:$K$24,0))*IF($C$25=$C$196,1-$C$76,1)*IF($C$25=$C$193,1-$C$76,1)</f>
        <v>19.13</v>
      </c>
      <c r="G136" s="116">
        <f>+SUMPRODUCT(E56:E62,C56:C62)</f>
        <v>0</v>
      </c>
      <c r="H136" s="99">
        <f>+G136*F136</f>
        <v>0</v>
      </c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G136" s="118">
        <f>+IF(H136&lt;&gt;0,MAX($AG$133:AG135)+1,0)</f>
        <v>0</v>
      </c>
      <c r="AH136" s="118"/>
      <c r="AI136" s="3" t="str">
        <f t="shared" si="13"/>
        <v>Educatore  - CCNL Cooperative - C3/D1 (costo orario 19,13 €/ora)</v>
      </c>
      <c r="AU136" s="4"/>
    </row>
    <row r="137" spans="2:47" s="3" customFormat="1" x14ac:dyDescent="0.35">
      <c r="B137" s="6" t="s">
        <v>122</v>
      </c>
      <c r="C137" s="6" t="str">
        <f>+C26</f>
        <v>CCNL Cooperative</v>
      </c>
      <c r="D137" s="6" t="str">
        <f>+IF(C137=$C$198,"B1","A1")</f>
        <v>B1</v>
      </c>
      <c r="E137" s="6"/>
      <c r="F137" s="116">
        <f>+INDEX('CCNL-appoggio'!$L$2:$L$24,MATCH(INPUT!D137,'CCNL-appoggio'!$K$2:$K$24,0))*IF($C$25=$C$196,1-$C$76,1)*IF($C$25=$C$193,1-$C$76,1)</f>
        <v>16.73</v>
      </c>
      <c r="G137" s="116">
        <f>+SUMPRODUCT(C56:C62,F56:F62)</f>
        <v>2309.489</v>
      </c>
      <c r="H137" s="99">
        <f>+G137*F137</f>
        <v>38637.750970000001</v>
      </c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G137" s="118">
        <f>+IF(H137&lt;&gt;0,MAX($AG$133:AG136)+1,0)</f>
        <v>4</v>
      </c>
      <c r="AH137" s="118"/>
      <c r="AI137" s="3" t="str">
        <f t="shared" si="13"/>
        <v>Ausiliario - CCNL Cooperative - B1 (costo orario 16,73 €/ora)</v>
      </c>
      <c r="AU137" s="4"/>
    </row>
    <row r="138" spans="2:47" s="3" customFormat="1" x14ac:dyDescent="0.35">
      <c r="B138" s="6" t="s">
        <v>123</v>
      </c>
      <c r="C138" s="6" t="str">
        <f>+C26</f>
        <v>CCNL Cooperative</v>
      </c>
      <c r="D138" s="6" t="str">
        <f>+IF(C138=$C$198,"C3/D1","C1")</f>
        <v>C3/D1</v>
      </c>
      <c r="E138" s="6"/>
      <c r="F138" s="116">
        <f>+INDEX('CCNL-appoggio'!$L$2:$L$24,MATCH(INPUT!D138,'CCNL-appoggio'!$K$2:$K$24,0))*IF($C$25=$C$196,1-$C$76,1)*IF($C$25=$C$193,1-$C$76,1)</f>
        <v>19.13</v>
      </c>
      <c r="G138" s="116">
        <f>+SUMPRODUCT(C56:C62,J56:J62)</f>
        <v>0</v>
      </c>
      <c r="H138" s="99">
        <f>+G138*F138</f>
        <v>0</v>
      </c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G138" s="118">
        <f>+IF(H138&lt;&gt;0,MAX($AG$133:AG137)+1,0)</f>
        <v>0</v>
      </c>
      <c r="AH138" s="118"/>
      <c r="AI138" s="3" t="str">
        <f t="shared" si="13"/>
        <v>Responsabile amministrativo - CCNL Cooperative - C3/D1 (costo orario 19,13 €/ora)</v>
      </c>
      <c r="AU138" s="4"/>
    </row>
    <row r="139" spans="2:47" s="3" customFormat="1" x14ac:dyDescent="0.35">
      <c r="B139" s="6" t="s">
        <v>69</v>
      </c>
      <c r="C139" s="6" t="str">
        <f>+C26</f>
        <v>CCNL Cooperative</v>
      </c>
      <c r="D139" s="6" t="str">
        <f>+IF(C139=$C$198,"C1","B3")</f>
        <v>C1</v>
      </c>
      <c r="E139" s="6"/>
      <c r="F139" s="116">
        <f>+INDEX('CCNL-appoggio'!$L$2:$L$24,MATCH(INPUT!D139,'CCNL-appoggio'!$K$2:$K$24,0))*IF($C$25=$C$196,1-$C$76,1)*IF($C$25=$C$193,1-$C$76,1)</f>
        <v>18.02</v>
      </c>
      <c r="G139" s="116">
        <f>+SUMPRODUCT(C56:C62,H56:H62)</f>
        <v>0</v>
      </c>
      <c r="H139" s="99">
        <f>+G139*F139</f>
        <v>0</v>
      </c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  <c r="V139" s="117"/>
      <c r="W139" s="117"/>
      <c r="X139" s="117"/>
      <c r="Y139" s="117"/>
      <c r="Z139" s="117"/>
      <c r="AA139" s="117"/>
      <c r="AB139" s="117"/>
      <c r="AC139" s="117"/>
      <c r="AD139" s="117"/>
      <c r="AE139" s="117"/>
      <c r="AG139" s="118">
        <f>+IF(H139&lt;&gt;0,MAX($AG$133:AG138)+1,0)</f>
        <v>0</v>
      </c>
      <c r="AH139" s="118"/>
      <c r="AI139" s="3" t="str">
        <f t="shared" si="13"/>
        <v>Cuoco - CCNL Cooperative - C1 (costo orario 18,02 €/ora)</v>
      </c>
      <c r="AU139" s="4"/>
    </row>
    <row r="140" spans="2:47" s="3" customFormat="1" x14ac:dyDescent="0.35">
      <c r="B140" s="6" t="s">
        <v>124</v>
      </c>
      <c r="C140" s="6"/>
      <c r="D140" s="6"/>
      <c r="E140" s="116">
        <f t="array" ref="E140">+SUM(IF(L56:L62&gt;0,K56:K62,0))</f>
        <v>3380</v>
      </c>
      <c r="F140" s="116"/>
      <c r="G140" s="116">
        <f>+E140</f>
        <v>3380</v>
      </c>
      <c r="H140" s="99">
        <f>+SUMPRODUCT(K56:K62,L56:L62)</f>
        <v>13520</v>
      </c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  <c r="V140" s="117"/>
      <c r="W140" s="117"/>
      <c r="X140" s="117"/>
      <c r="Y140" s="117"/>
      <c r="Z140" s="117"/>
      <c r="AA140" s="117"/>
      <c r="AB140" s="117"/>
      <c r="AC140" s="117"/>
      <c r="AD140" s="117"/>
      <c r="AE140" s="117"/>
      <c r="AG140" s="118">
        <f>+IF(H140&lt;&gt;0,MAX($AG$133:AG139)+1,0)</f>
        <v>5</v>
      </c>
      <c r="AH140" s="118" t="s">
        <v>125</v>
      </c>
      <c r="AI140" s="3" t="str">
        <f>+B140</f>
        <v>Pasti</v>
      </c>
      <c r="AU140" s="4"/>
    </row>
    <row r="141" spans="2:47" s="3" customFormat="1" x14ac:dyDescent="0.35">
      <c r="B141" s="6" t="s">
        <v>126</v>
      </c>
      <c r="C141" s="6"/>
      <c r="D141" s="6"/>
      <c r="E141" s="119">
        <f>+IF(C71="Si",C72,0)</f>
        <v>0.08</v>
      </c>
      <c r="F141" s="6"/>
      <c r="G141" s="119">
        <f>+E141</f>
        <v>0.08</v>
      </c>
      <c r="H141" s="99">
        <f>+E141*SUM(H134:H139)</f>
        <v>7465.0813881279992</v>
      </c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/>
      <c r="AG141" s="118">
        <f>+IF(H141&lt;&gt;0,MAX($AG$133:AG140)+1,0)</f>
        <v>6</v>
      </c>
      <c r="AH141" s="118" t="s">
        <v>127</v>
      </c>
      <c r="AI141" s="3" t="str">
        <f>+B141</f>
        <v>Spese generali</v>
      </c>
      <c r="AU141" s="4"/>
    </row>
    <row r="142" spans="2:47" s="3" customFormat="1" x14ac:dyDescent="0.35">
      <c r="B142" s="6" t="s">
        <v>128</v>
      </c>
      <c r="C142" s="6"/>
      <c r="D142" s="6"/>
      <c r="E142" s="119">
        <f>+IF(C71="Si",C73,0)</f>
        <v>0</v>
      </c>
      <c r="F142" s="6"/>
      <c r="G142" s="119">
        <f>+E142</f>
        <v>0</v>
      </c>
      <c r="H142" s="99">
        <f>+SUM(AC88:AC94)</f>
        <v>0</v>
      </c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  <c r="W142" s="117"/>
      <c r="X142" s="117"/>
      <c r="Y142" s="117"/>
      <c r="Z142" s="117"/>
      <c r="AA142" s="117"/>
      <c r="AB142" s="117"/>
      <c r="AC142" s="117"/>
      <c r="AD142" s="117"/>
      <c r="AE142" s="117"/>
      <c r="AG142" s="118">
        <f>+IF(H142&lt;&gt;0,MAX($AG$133:AG141)+1,0)</f>
        <v>0</v>
      </c>
      <c r="AH142" s="118" t="s">
        <v>127</v>
      </c>
      <c r="AI142" s="3" t="str">
        <f>+B142</f>
        <v>Spese generali aggiuntive (ex COVID-19)</v>
      </c>
      <c r="AU142" s="4"/>
    </row>
    <row r="143" spans="2:47" s="3" customFormat="1" x14ac:dyDescent="0.35">
      <c r="B143" s="6" t="s">
        <v>129</v>
      </c>
      <c r="C143" s="6"/>
      <c r="D143" s="6"/>
      <c r="E143" s="119">
        <f>+C81</f>
        <v>0.05</v>
      </c>
      <c r="F143" s="6"/>
      <c r="G143" s="119">
        <f>+E143</f>
        <v>0.05</v>
      </c>
      <c r="H143" s="99">
        <f>+IF(AND(SUM(R45:R51)=0,C78=C203,C25&lt;&gt;C194),SUM(H134:H142)*E143,0)</f>
        <v>5714.9299369864002</v>
      </c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  <c r="V143" s="117"/>
      <c r="W143" s="117"/>
      <c r="X143" s="117"/>
      <c r="Y143" s="117"/>
      <c r="Z143" s="117"/>
      <c r="AA143" s="117"/>
      <c r="AB143" s="117"/>
      <c r="AC143" s="117"/>
      <c r="AD143" s="117"/>
      <c r="AE143" s="117"/>
      <c r="AG143" s="118">
        <f>+IF(H143&lt;&gt;0,MAX($AG$133:AG142)+1,0)</f>
        <v>7</v>
      </c>
      <c r="AH143" s="118" t="s">
        <v>127</v>
      </c>
      <c r="AI143" s="3" t="str">
        <f>+B143</f>
        <v>IVA</v>
      </c>
      <c r="AU143" s="4"/>
    </row>
    <row r="144" spans="2:47" s="3" customFormat="1" x14ac:dyDescent="0.35">
      <c r="B144" s="88" t="s">
        <v>130</v>
      </c>
      <c r="C144" s="6"/>
      <c r="D144" s="6"/>
      <c r="E144" s="119"/>
      <c r="F144" s="6"/>
      <c r="G144" s="6"/>
      <c r="H144" s="104">
        <f>+SUM(H134:H143)</f>
        <v>120013.5286767144</v>
      </c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77"/>
      <c r="AU144" s="4"/>
    </row>
    <row r="145" spans="2:47" s="3" customFormat="1" x14ac:dyDescent="0.35">
      <c r="B145" s="6" t="s">
        <v>131</v>
      </c>
      <c r="C145" s="6"/>
      <c r="D145" s="6"/>
      <c r="E145" s="119"/>
      <c r="F145" s="6"/>
      <c r="G145" s="6"/>
      <c r="H145" s="99">
        <f>-IF(OR($C$25=$C$195,$C$25=$C$196),SUM(M56:M62),0)</f>
        <v>0</v>
      </c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  <c r="AA145" s="117"/>
      <c r="AB145" s="117"/>
      <c r="AC145" s="117"/>
      <c r="AD145" s="117"/>
      <c r="AE145" s="117"/>
      <c r="AU145" s="4"/>
    </row>
    <row r="146" spans="2:47" s="3" customFormat="1" x14ac:dyDescent="0.35">
      <c r="B146" s="6" t="s">
        <v>132</v>
      </c>
      <c r="C146" s="6"/>
      <c r="D146" s="6"/>
      <c r="E146" s="6"/>
      <c r="F146" s="6"/>
      <c r="G146" s="6"/>
      <c r="H146" s="99">
        <f>-SUMPRODUCT(R45:R51,Q45:Q51,D45:D51)</f>
        <v>0</v>
      </c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  <c r="AA146" s="117"/>
      <c r="AB146" s="117"/>
      <c r="AC146" s="117"/>
      <c r="AD146" s="117"/>
      <c r="AE146" s="117"/>
      <c r="AG146" s="118">
        <v>1</v>
      </c>
      <c r="AU146" s="4"/>
    </row>
    <row r="147" spans="2:47" s="5" customFormat="1" x14ac:dyDescent="0.35">
      <c r="B147" s="88" t="s">
        <v>133</v>
      </c>
      <c r="C147" s="88"/>
      <c r="D147" s="88"/>
      <c r="E147" s="88"/>
      <c r="F147" s="88"/>
      <c r="G147" s="88"/>
      <c r="H147" s="104">
        <f>+H144+H146+H145</f>
        <v>120013.5286767144</v>
      </c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C147" s="77"/>
      <c r="AD147" s="77"/>
      <c r="AE147" s="77"/>
      <c r="AF147" s="117"/>
      <c r="AU147" s="11"/>
    </row>
    <row r="148" spans="2:47" s="5" customFormat="1" x14ac:dyDescent="0.35"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C148" s="77"/>
      <c r="AD148" s="77"/>
      <c r="AE148" s="77"/>
      <c r="AU148" s="11"/>
    </row>
    <row r="149" spans="2:47" s="5" customFormat="1" x14ac:dyDescent="0.35"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C149" s="77"/>
      <c r="AD149" s="77"/>
      <c r="AE149" s="77"/>
      <c r="AU149" s="11"/>
    </row>
    <row r="150" spans="2:47" s="5" customFormat="1" x14ac:dyDescent="0.35">
      <c r="H150" s="77"/>
      <c r="AU150" s="11"/>
    </row>
    <row r="151" spans="2:47" s="5" customFormat="1" x14ac:dyDescent="0.35">
      <c r="H151" s="77"/>
      <c r="AU151" s="11"/>
    </row>
    <row r="152" spans="2:47" s="5" customFormat="1" x14ac:dyDescent="0.35">
      <c r="H152" s="77"/>
      <c r="AU152" s="11"/>
    </row>
    <row r="153" spans="2:47" s="5" customFormat="1" hidden="1" x14ac:dyDescent="0.35">
      <c r="H153" s="77"/>
      <c r="AT153" s="11"/>
    </row>
    <row r="154" spans="2:47" s="3" customFormat="1" hidden="1" x14ac:dyDescent="0.35">
      <c r="AT154" s="4"/>
    </row>
    <row r="155" spans="2:47" s="118" customFormat="1" hidden="1" x14ac:dyDescent="0.35">
      <c r="C155" s="120" t="s">
        <v>134</v>
      </c>
      <c r="AR155" s="4"/>
    </row>
    <row r="156" spans="2:47" s="118" customFormat="1" hidden="1" x14ac:dyDescent="0.35">
      <c r="C156" s="120" t="s">
        <v>135</v>
      </c>
      <c r="AR156" s="4"/>
    </row>
    <row r="157" spans="2:47" s="118" customFormat="1" hidden="1" x14ac:dyDescent="0.35">
      <c r="C157" s="120" t="s">
        <v>136</v>
      </c>
      <c r="AR157" s="4"/>
    </row>
    <row r="158" spans="2:47" s="118" customFormat="1" hidden="1" x14ac:dyDescent="0.35">
      <c r="C158" s="120" t="s">
        <v>2</v>
      </c>
      <c r="AR158" s="4"/>
    </row>
    <row r="159" spans="2:47" hidden="1" x14ac:dyDescent="0.35"/>
    <row r="160" spans="2:47" s="118" customFormat="1" hidden="1" x14ac:dyDescent="0.35">
      <c r="B160" s="118">
        <v>1</v>
      </c>
      <c r="C160" s="120" t="s">
        <v>18</v>
      </c>
      <c r="AR160" s="4"/>
    </row>
    <row r="161" spans="1:44" s="118" customFormat="1" hidden="1" x14ac:dyDescent="0.35">
      <c r="B161" s="118">
        <v>2</v>
      </c>
      <c r="C161" s="120" t="s">
        <v>137</v>
      </c>
      <c r="AR161" s="4"/>
    </row>
    <row r="162" spans="1:44" hidden="1" x14ac:dyDescent="0.35"/>
    <row r="163" spans="1:44" s="118" customFormat="1" hidden="1" x14ac:dyDescent="0.35">
      <c r="C163" s="120" t="s">
        <v>63</v>
      </c>
      <c r="AR163" s="4"/>
    </row>
    <row r="164" spans="1:44" s="118" customFormat="1" hidden="1" x14ac:dyDescent="0.35">
      <c r="C164" s="120" t="s">
        <v>138</v>
      </c>
      <c r="AR164" s="4"/>
    </row>
    <row r="165" spans="1:44" s="118" customFormat="1" hidden="1" x14ac:dyDescent="0.35">
      <c r="C165" s="120" t="s">
        <v>139</v>
      </c>
      <c r="AR165" s="4"/>
    </row>
    <row r="166" spans="1:44" s="118" customFormat="1" hidden="1" x14ac:dyDescent="0.35">
      <c r="C166" s="120" t="s">
        <v>140</v>
      </c>
      <c r="AR166" s="4"/>
    </row>
    <row r="167" spans="1:44" s="118" customFormat="1" hidden="1" x14ac:dyDescent="0.35">
      <c r="A167" s="121">
        <f>+MAX(A168:A183)</f>
        <v>4</v>
      </c>
      <c r="C167" s="120"/>
      <c r="AR167" s="4"/>
    </row>
    <row r="168" spans="1:44" s="118" customFormat="1" hidden="1" x14ac:dyDescent="0.35">
      <c r="A168" s="118">
        <f>+IF($C$25=B168,1,0)</f>
        <v>1</v>
      </c>
      <c r="B168" s="120" t="str">
        <f>+$C$192</f>
        <v>appalto di servizio ex D.lgs 50/2016 e ss.mm.ii. da bandire</v>
      </c>
      <c r="C168" s="120" t="str">
        <f>+C163</f>
        <v>Servizio di nuova istituzione/utenti aggiuntivi</v>
      </c>
      <c r="AR168" s="4"/>
    </row>
    <row r="169" spans="1:44" s="118" customFormat="1" hidden="1" x14ac:dyDescent="0.35">
      <c r="A169" s="118">
        <f>+IF($C$25=B169,MAX($A$168:A168)+1,0)</f>
        <v>2</v>
      </c>
      <c r="B169" s="120" t="str">
        <f>+$C$192</f>
        <v>appalto di servizio ex D.lgs 50/2016 e ss.mm.ii. da bandire</v>
      </c>
      <c r="C169" s="120" t="str">
        <f>+C164</f>
        <v>Estensione del periodo di apertura (mensilità aggiuntive)</v>
      </c>
      <c r="AR169" s="4"/>
    </row>
    <row r="170" spans="1:44" s="118" customFormat="1" hidden="1" x14ac:dyDescent="0.35">
      <c r="A170" s="118">
        <f>+IF($C$25=B170,MAX($A$168:A169)+1,0)</f>
        <v>3</v>
      </c>
      <c r="B170" s="120" t="str">
        <f>+$C$192</f>
        <v>appalto di servizio ex D.lgs 50/2016 e ss.mm.ii. da bandire</v>
      </c>
      <c r="C170" s="120" t="str">
        <f>+C165</f>
        <v>Estensione dell'orario di servizio (maggiore orario settimanale)</v>
      </c>
      <c r="AR170" s="4"/>
    </row>
    <row r="171" spans="1:44" s="118" customFormat="1" hidden="1" x14ac:dyDescent="0.35">
      <c r="A171" s="118">
        <f>+IF($C$25=B171,MAX($A$168:A170)+1,0)</f>
        <v>4</v>
      </c>
      <c r="B171" s="120" t="str">
        <f>+$C$192</f>
        <v>appalto di servizio ex D.lgs 50/2016 e ss.mm.ii. da bandire</v>
      </c>
      <c r="C171" s="120" t="str">
        <f>+C166</f>
        <v>Sostegno alla gestione di servizi ed utenti già attivati</v>
      </c>
      <c r="AR171" s="4"/>
    </row>
    <row r="172" spans="1:44" s="118" customFormat="1" hidden="1" x14ac:dyDescent="0.35">
      <c r="A172" s="118">
        <f>+IF($C$25=B172,MAX($A$168:A171)+1,0)</f>
        <v>0</v>
      </c>
      <c r="B172" s="120" t="str">
        <f>+$C$193</f>
        <v>appalto di servizio già aggiudicato</v>
      </c>
      <c r="C172" s="120" t="str">
        <f>+C166</f>
        <v>Sostegno alla gestione di servizi ed utenti già attivati</v>
      </c>
      <c r="AR172" s="4"/>
    </row>
    <row r="173" spans="1:44" s="118" customFormat="1" hidden="1" x14ac:dyDescent="0.35">
      <c r="A173" s="118">
        <f>+IF($C$25=B173,MAX($A$168:A172)+1,0)</f>
        <v>0</v>
      </c>
      <c r="B173" s="120" t="str">
        <f>+$C$193</f>
        <v>appalto di servizio già aggiudicato</v>
      </c>
      <c r="C173" s="120" t="str">
        <f>+C163</f>
        <v>Servizio di nuova istituzione/utenti aggiuntivi</v>
      </c>
      <c r="AR173" s="4"/>
    </row>
    <row r="174" spans="1:44" s="118" customFormat="1" hidden="1" x14ac:dyDescent="0.35">
      <c r="A174" s="118">
        <f>+IF($C$25=B174,MAX($A$168:A173)+1,0)</f>
        <v>0</v>
      </c>
      <c r="B174" s="120" t="str">
        <f>+$C$193</f>
        <v>appalto di servizio già aggiudicato</v>
      </c>
      <c r="C174" s="120" t="str">
        <f>+C164</f>
        <v>Estensione del periodo di apertura (mensilità aggiuntive)</v>
      </c>
      <c r="AR174" s="4"/>
    </row>
    <row r="175" spans="1:44" s="118" customFormat="1" hidden="1" x14ac:dyDescent="0.35">
      <c r="A175" s="118">
        <f>+IF($C$25=B175,MAX($A$168:A174)+1,0)</f>
        <v>0</v>
      </c>
      <c r="B175" s="120" t="str">
        <f>+$C$193</f>
        <v>appalto di servizio già aggiudicato</v>
      </c>
      <c r="C175" s="120" t="str">
        <f>+C165</f>
        <v>Estensione dell'orario di servizio (maggiore orario settimanale)</v>
      </c>
      <c r="AR175" s="4"/>
    </row>
    <row r="176" spans="1:44" s="118" customFormat="1" hidden="1" x14ac:dyDescent="0.35">
      <c r="A176" s="118">
        <f>+IF($C$25=B176,MAX($A$168:A175)+1,0)</f>
        <v>0</v>
      </c>
      <c r="B176" s="120" t="str">
        <f>+$C$194</f>
        <v>gestione diretta</v>
      </c>
      <c r="C176" s="120" t="str">
        <f>+C163</f>
        <v>Servizio di nuova istituzione/utenti aggiuntivi</v>
      </c>
      <c r="AR176" s="4"/>
    </row>
    <row r="177" spans="1:44" s="118" customFormat="1" hidden="1" x14ac:dyDescent="0.35">
      <c r="A177" s="118">
        <f>+IF($C$25=B177,MAX($A$168:A176)+1,0)</f>
        <v>0</v>
      </c>
      <c r="B177" s="120" t="str">
        <f>+$C$194</f>
        <v>gestione diretta</v>
      </c>
      <c r="C177" s="120" t="str">
        <f>+C164</f>
        <v>Estensione del periodo di apertura (mensilità aggiuntive)</v>
      </c>
      <c r="AR177" s="4"/>
    </row>
    <row r="178" spans="1:44" s="118" customFormat="1" hidden="1" x14ac:dyDescent="0.35">
      <c r="A178" s="118">
        <f>+IF($C$25=B178,MAX($A$168:A177)+1,0)</f>
        <v>0</v>
      </c>
      <c r="B178" s="120" t="str">
        <f>+$C$194</f>
        <v>gestione diretta</v>
      </c>
      <c r="C178" s="120" t="str">
        <f>+C165</f>
        <v>Estensione dell'orario di servizio (maggiore orario settimanale)</v>
      </c>
      <c r="AR178" s="4"/>
    </row>
    <row r="179" spans="1:44" s="118" customFormat="1" hidden="1" x14ac:dyDescent="0.35">
      <c r="A179" s="118">
        <f>+IF($C$25=B179,MAX($A$168:A178)+1,0)</f>
        <v>0</v>
      </c>
      <c r="B179" s="120" t="str">
        <f>+$C$194</f>
        <v>gestione diretta</v>
      </c>
      <c r="C179" s="120" t="str">
        <f>+C166</f>
        <v>Sostegno alla gestione di servizi ed utenti già attivati</v>
      </c>
      <c r="AR179" s="4"/>
    </row>
    <row r="180" spans="1:44" s="118" customFormat="1" hidden="1" x14ac:dyDescent="0.35">
      <c r="A180" s="118">
        <f>+IF($C$25=B180,MAX($A$168:A179)+1,0)</f>
        <v>0</v>
      </c>
      <c r="B180" s="120" t="str">
        <f>+$C$195</f>
        <v>concessione da bandire</v>
      </c>
      <c r="C180" s="120" t="str">
        <f>+C163</f>
        <v>Servizio di nuova istituzione/utenti aggiuntivi</v>
      </c>
      <c r="AR180" s="4"/>
    </row>
    <row r="181" spans="1:44" s="118" customFormat="1" hidden="1" x14ac:dyDescent="0.35">
      <c r="A181" s="118">
        <f>+IF($C$25=B181,MAX($A$168:A180)+1,0)</f>
        <v>0</v>
      </c>
      <c r="B181" s="120" t="str">
        <f>+$C$195</f>
        <v>concessione da bandire</v>
      </c>
      <c r="C181" s="120" t="str">
        <f>+C166</f>
        <v>Sostegno alla gestione di servizi ed utenti già attivati</v>
      </c>
      <c r="AR181" s="4"/>
    </row>
    <row r="182" spans="1:44" s="118" customFormat="1" hidden="1" x14ac:dyDescent="0.35">
      <c r="A182" s="118">
        <f>+IF($C$25=B182,MAX($A$168:A181)+1,0)</f>
        <v>0</v>
      </c>
      <c r="B182" s="120" t="str">
        <f>+$C$196</f>
        <v>concessione già aggiudicata</v>
      </c>
      <c r="C182" s="120" t="str">
        <f>+C163</f>
        <v>Servizio di nuova istituzione/utenti aggiuntivi</v>
      </c>
      <c r="AR182" s="4"/>
    </row>
    <row r="183" spans="1:44" s="118" customFormat="1" hidden="1" x14ac:dyDescent="0.35">
      <c r="A183" s="118">
        <f>+IF($C$25=B183,MAX($A$168:A182)+1,0)</f>
        <v>0</v>
      </c>
      <c r="B183" s="120" t="str">
        <f>+$C$196</f>
        <v>concessione già aggiudicata</v>
      </c>
      <c r="C183" s="120" t="str">
        <f>+C166</f>
        <v>Sostegno alla gestione di servizi ed utenti già attivati</v>
      </c>
      <c r="AR183" s="4"/>
    </row>
    <row r="184" spans="1:44" s="118" customFormat="1" hidden="1" x14ac:dyDescent="0.35">
      <c r="C184" s="120"/>
      <c r="AR184" s="4"/>
    </row>
    <row r="185" spans="1:44" s="118" customFormat="1" hidden="1" x14ac:dyDescent="0.35">
      <c r="A185" s="118">
        <v>1</v>
      </c>
      <c r="B185" s="118" t="str">
        <f>+IF(ISERROR(INDEX($C$168:$C$183,MATCH(A185,$A$168:$A$183,0))),"",INDEX($C$168:$C$183,MATCH(A185,$A$168:$A$183,0)))</f>
        <v>Servizio di nuova istituzione/utenti aggiuntivi</v>
      </c>
      <c r="C185" s="120"/>
      <c r="AR185" s="4"/>
    </row>
    <row r="186" spans="1:44" s="118" customFormat="1" hidden="1" x14ac:dyDescent="0.35">
      <c r="A186" s="118">
        <v>2</v>
      </c>
      <c r="B186" s="118" t="str">
        <f>+IF(ISERROR(INDEX($C$168:$C$183,MATCH(A186,$A$168:$A$183,0))),"",INDEX($C$168:$C$183,MATCH(A186,$A$168:$A$183,0)))</f>
        <v>Estensione del periodo di apertura (mensilità aggiuntive)</v>
      </c>
      <c r="C186" s="120"/>
      <c r="AR186" s="4"/>
    </row>
    <row r="187" spans="1:44" s="118" customFormat="1" hidden="1" x14ac:dyDescent="0.35">
      <c r="A187" s="118">
        <v>3</v>
      </c>
      <c r="B187" s="118" t="str">
        <f>+IF(ISERROR(INDEX($C$168:$C$183,MATCH(A187,$A$168:$A$183,0))),"",INDEX($C$168:$C$183,MATCH(A187,$A$168:$A$183,0)))</f>
        <v>Estensione dell'orario di servizio (maggiore orario settimanale)</v>
      </c>
      <c r="C187" s="120"/>
      <c r="AR187" s="4"/>
    </row>
    <row r="188" spans="1:44" s="118" customFormat="1" hidden="1" x14ac:dyDescent="0.35">
      <c r="A188" s="118">
        <v>4</v>
      </c>
      <c r="B188" s="118" t="str">
        <f>+IF(ISERROR(INDEX($C$168:$C$183,MATCH(A188,$A$168:$A$183,0))),"",INDEX($C$168:$C$183,MATCH(A188,$A$168:$A$183,0)))</f>
        <v>Sostegno alla gestione di servizi ed utenti già attivati</v>
      </c>
      <c r="C188" s="120"/>
      <c r="AR188" s="4"/>
    </row>
    <row r="189" spans="1:44" s="118" customFormat="1" hidden="1" x14ac:dyDescent="0.35">
      <c r="C189" s="120"/>
      <c r="AR189" s="4"/>
    </row>
    <row r="190" spans="1:44" s="118" customFormat="1" hidden="1" x14ac:dyDescent="0.35">
      <c r="C190" s="120"/>
      <c r="AR190" s="4"/>
    </row>
    <row r="191" spans="1:44" hidden="1" x14ac:dyDescent="0.35"/>
    <row r="192" spans="1:44" s="118" customFormat="1" hidden="1" x14ac:dyDescent="0.35">
      <c r="C192" s="120" t="s">
        <v>33</v>
      </c>
      <c r="AR192" s="4"/>
    </row>
    <row r="193" spans="3:44" s="118" customFormat="1" hidden="1" x14ac:dyDescent="0.35">
      <c r="C193" s="120" t="s">
        <v>141</v>
      </c>
      <c r="AR193" s="4"/>
    </row>
    <row r="194" spans="3:44" s="118" customFormat="1" hidden="1" x14ac:dyDescent="0.35">
      <c r="C194" s="120" t="s">
        <v>142</v>
      </c>
      <c r="AR194" s="4"/>
    </row>
    <row r="195" spans="3:44" s="118" customFormat="1" hidden="1" x14ac:dyDescent="0.35">
      <c r="C195" s="120" t="s">
        <v>143</v>
      </c>
      <c r="AR195" s="4"/>
    </row>
    <row r="196" spans="3:44" s="118" customFormat="1" hidden="1" x14ac:dyDescent="0.35">
      <c r="C196" s="120" t="s">
        <v>144</v>
      </c>
      <c r="AR196" s="4"/>
    </row>
    <row r="197" spans="3:44" hidden="1" x14ac:dyDescent="0.35"/>
    <row r="198" spans="3:44" s="118" customFormat="1" hidden="1" x14ac:dyDescent="0.35">
      <c r="C198" s="120" t="s">
        <v>35</v>
      </c>
      <c r="D198" s="122" t="s">
        <v>37</v>
      </c>
      <c r="E198" s="122" t="s">
        <v>37</v>
      </c>
      <c r="F198" s="122" t="s">
        <v>37</v>
      </c>
      <c r="G198" s="122" t="s">
        <v>37</v>
      </c>
      <c r="AR198" s="4"/>
    </row>
    <row r="199" spans="3:44" s="118" customFormat="1" hidden="1" x14ac:dyDescent="0.35">
      <c r="C199" s="120" t="s">
        <v>145</v>
      </c>
      <c r="D199" s="122" t="s">
        <v>146</v>
      </c>
      <c r="E199" s="122" t="s">
        <v>146</v>
      </c>
      <c r="F199" s="122"/>
      <c r="G199" s="122"/>
      <c r="AR199" s="4"/>
    </row>
    <row r="200" spans="3:44" s="118" customFormat="1" hidden="1" x14ac:dyDescent="0.35">
      <c r="C200" s="120" t="s">
        <v>147</v>
      </c>
      <c r="AR200" s="4"/>
    </row>
    <row r="201" spans="3:44" hidden="1" x14ac:dyDescent="0.35"/>
    <row r="202" spans="3:44" s="118" customFormat="1" hidden="1" x14ac:dyDescent="0.35">
      <c r="C202" s="120" t="s">
        <v>64</v>
      </c>
      <c r="AR202" s="4"/>
    </row>
    <row r="203" spans="3:44" s="118" customFormat="1" hidden="1" x14ac:dyDescent="0.35">
      <c r="C203" s="120" t="s">
        <v>87</v>
      </c>
      <c r="AR203" s="4"/>
    </row>
    <row r="204" spans="3:44" hidden="1" x14ac:dyDescent="0.35"/>
    <row r="205" spans="3:44" s="118" customFormat="1" hidden="1" x14ac:dyDescent="0.35">
      <c r="C205" s="123">
        <v>0</v>
      </c>
      <c r="AR205" s="4"/>
    </row>
    <row r="206" spans="3:44" s="118" customFormat="1" hidden="1" x14ac:dyDescent="0.35">
      <c r="C206" s="123">
        <v>0.05</v>
      </c>
      <c r="AR206" s="4"/>
    </row>
    <row r="207" spans="3:44" s="118" customFormat="1" hidden="1" x14ac:dyDescent="0.35">
      <c r="C207" s="123">
        <v>0.22</v>
      </c>
      <c r="AR207" s="4"/>
    </row>
    <row r="208" spans="3:44" hidden="1" x14ac:dyDescent="0.35"/>
    <row r="209" spans="1:44" s="118" customFormat="1" hidden="1" x14ac:dyDescent="0.35">
      <c r="AR209" s="4"/>
    </row>
    <row r="210" spans="1:44" s="118" customFormat="1" hidden="1" x14ac:dyDescent="0.35">
      <c r="AR210" s="4"/>
    </row>
    <row r="211" spans="1:44" s="118" customFormat="1" hidden="1" x14ac:dyDescent="0.35">
      <c r="AR211" s="4"/>
    </row>
    <row r="212" spans="1:44" s="118" customFormat="1" hidden="1" x14ac:dyDescent="0.35">
      <c r="AR212" s="4"/>
    </row>
    <row r="213" spans="1:44" s="124" customFormat="1" ht="29" hidden="1" x14ac:dyDescent="0.35">
      <c r="A213" s="124">
        <f>+MAX(A214:A229)</f>
        <v>2</v>
      </c>
      <c r="B213" s="125" t="s">
        <v>148</v>
      </c>
      <c r="C213" s="125" t="s">
        <v>149</v>
      </c>
      <c r="D213" s="125" t="s">
        <v>19</v>
      </c>
      <c r="E213" s="125" t="s">
        <v>150</v>
      </c>
      <c r="F213" s="125" t="s">
        <v>151</v>
      </c>
      <c r="G213" s="125" t="s">
        <v>152</v>
      </c>
      <c r="H213" s="125" t="s">
        <v>153</v>
      </c>
      <c r="I213" s="125" t="s">
        <v>154</v>
      </c>
      <c r="J213" s="125" t="s">
        <v>155</v>
      </c>
      <c r="K213" s="125" t="s">
        <v>156</v>
      </c>
      <c r="L213" s="125" t="s">
        <v>157</v>
      </c>
      <c r="M213" s="125" t="s">
        <v>158</v>
      </c>
      <c r="N213" s="125" t="s">
        <v>159</v>
      </c>
      <c r="O213" s="125" t="s">
        <v>160</v>
      </c>
      <c r="P213" s="125" t="s">
        <v>161</v>
      </c>
      <c r="AR213" s="11"/>
    </row>
    <row r="214" spans="1:44" s="118" customFormat="1" hidden="1" x14ac:dyDescent="0.35">
      <c r="A214" s="118">
        <f>+IF(AND(B214=$C$2,C214=$C$13),1,0)</f>
        <v>0</v>
      </c>
      <c r="B214" s="126" t="str">
        <f>+C155</f>
        <v>Calabria</v>
      </c>
      <c r="C214" s="126" t="str">
        <f>+$C$160</f>
        <v>Nido / Micro-nido</v>
      </c>
      <c r="D214" s="126" t="str">
        <f>+$C$160</f>
        <v>Nido / Micro-nido</v>
      </c>
      <c r="E214" s="127">
        <v>6</v>
      </c>
      <c r="F214" s="127">
        <v>7</v>
      </c>
      <c r="G214" s="127">
        <v>10</v>
      </c>
      <c r="H214" s="128">
        <f>+AVERAGE(E214:G214)</f>
        <v>7.666666666666667</v>
      </c>
      <c r="I214" s="129">
        <v>0</v>
      </c>
      <c r="J214" s="127">
        <v>24</v>
      </c>
      <c r="K214" s="127"/>
      <c r="L214" s="127"/>
      <c r="M214" s="130">
        <v>6</v>
      </c>
      <c r="N214" s="130">
        <v>12</v>
      </c>
      <c r="O214" s="131">
        <v>5</v>
      </c>
      <c r="P214" s="131">
        <v>6</v>
      </c>
      <c r="AR214" s="4"/>
    </row>
    <row r="215" spans="1:44" s="118" customFormat="1" hidden="1" x14ac:dyDescent="0.35">
      <c r="A215" s="118">
        <f>+IF(AND(B215=$C$2,C215=$C$13),MAX($A$214:A214)+1,0)</f>
        <v>0</v>
      </c>
      <c r="B215" s="126" t="str">
        <f>+B214</f>
        <v>Calabria</v>
      </c>
      <c r="C215" s="126" t="str">
        <f>+$C$160</f>
        <v>Nido / Micro-nido</v>
      </c>
      <c r="D215" s="127" t="s">
        <v>20</v>
      </c>
      <c r="E215" s="127">
        <v>0</v>
      </c>
      <c r="F215" s="127">
        <v>0</v>
      </c>
      <c r="G215" s="127">
        <v>10</v>
      </c>
      <c r="H215" s="127">
        <v>10</v>
      </c>
      <c r="I215" s="127"/>
      <c r="J215" s="127">
        <v>24</v>
      </c>
      <c r="K215" s="127"/>
      <c r="L215" s="127"/>
      <c r="M215" s="130">
        <v>5</v>
      </c>
      <c r="N215" s="130">
        <v>12</v>
      </c>
      <c r="O215" s="131">
        <v>5</v>
      </c>
      <c r="P215" s="131">
        <v>6</v>
      </c>
      <c r="AR215" s="4"/>
    </row>
    <row r="216" spans="1:44" s="118" customFormat="1" hidden="1" x14ac:dyDescent="0.35">
      <c r="A216" s="118">
        <f>+IF(AND(B216=$C$2,C216=$C$13),MAX($A$214:A215)+1,0)</f>
        <v>0</v>
      </c>
      <c r="B216" s="126" t="str">
        <f>+B215</f>
        <v>Calabria</v>
      </c>
      <c r="C216" s="126" t="str">
        <f>+$C$161</f>
        <v>Servizi integrativi</v>
      </c>
      <c r="D216" s="127" t="s">
        <v>162</v>
      </c>
      <c r="E216" s="127">
        <v>10</v>
      </c>
      <c r="F216" s="127">
        <v>10</v>
      </c>
      <c r="G216" s="127">
        <v>10</v>
      </c>
      <c r="H216" s="127">
        <f>+AVERAGE(E216:G216)</f>
        <v>10</v>
      </c>
      <c r="I216" s="127"/>
      <c r="J216" s="127">
        <v>0</v>
      </c>
      <c r="K216" s="127"/>
      <c r="L216" s="127"/>
      <c r="M216" s="130">
        <v>1</v>
      </c>
      <c r="N216" s="130">
        <v>5</v>
      </c>
      <c r="O216" s="131">
        <v>2</v>
      </c>
      <c r="P216" s="131">
        <v>6</v>
      </c>
      <c r="AR216" s="4"/>
    </row>
    <row r="217" spans="1:44" s="118" customFormat="1" hidden="1" x14ac:dyDescent="0.35">
      <c r="A217" s="118">
        <f>+IF(AND(B217=$C$2,C217=$C$13),MAX($A$214:A216)+1,0)</f>
        <v>0</v>
      </c>
      <c r="B217" s="126" t="str">
        <f>+B216</f>
        <v>Calabria</v>
      </c>
      <c r="C217" s="126" t="str">
        <f>+$C$161</f>
        <v>Servizi integrativi</v>
      </c>
      <c r="D217" s="127" t="s">
        <v>163</v>
      </c>
      <c r="E217" s="127">
        <v>10</v>
      </c>
      <c r="F217" s="127">
        <v>10</v>
      </c>
      <c r="G217" s="127">
        <v>10</v>
      </c>
      <c r="H217" s="127">
        <f>+AVERAGE(E217:G217)</f>
        <v>10</v>
      </c>
      <c r="I217" s="127"/>
      <c r="J217" s="127">
        <v>25</v>
      </c>
      <c r="K217" s="127"/>
      <c r="L217" s="127"/>
      <c r="M217" s="130">
        <v>1</v>
      </c>
      <c r="N217" s="130">
        <v>5</v>
      </c>
      <c r="O217" s="131">
        <v>1</v>
      </c>
      <c r="P217" s="131">
        <v>6</v>
      </c>
      <c r="AR217" s="4"/>
    </row>
    <row r="218" spans="1:44" s="118" customFormat="1" hidden="1" x14ac:dyDescent="0.35">
      <c r="A218" s="118">
        <f>+IF(AND(B218=$C$2,C218=$C$13),MAX($A$214:A217)+1,0)</f>
        <v>0</v>
      </c>
      <c r="B218" s="126" t="str">
        <f>+C156</f>
        <v>Campania</v>
      </c>
      <c r="C218" s="126" t="str">
        <f>+$C$160</f>
        <v>Nido / Micro-nido</v>
      </c>
      <c r="D218" s="126" t="str">
        <f>+$C$160</f>
        <v>Nido / Micro-nido</v>
      </c>
      <c r="E218" s="127">
        <v>5</v>
      </c>
      <c r="F218" s="127">
        <v>8</v>
      </c>
      <c r="G218" s="127">
        <v>10</v>
      </c>
      <c r="H218" s="127">
        <f>+AVERAGE(E218:G218)</f>
        <v>7.666666666666667</v>
      </c>
      <c r="I218" s="129">
        <v>0.3</v>
      </c>
      <c r="J218" s="127">
        <v>20</v>
      </c>
      <c r="K218" s="127"/>
      <c r="L218" s="127"/>
      <c r="M218" s="130">
        <v>5</v>
      </c>
      <c r="N218" s="130">
        <v>10</v>
      </c>
      <c r="O218" s="131">
        <v>5</v>
      </c>
      <c r="P218" s="131">
        <v>6</v>
      </c>
      <c r="AR218" s="4"/>
    </row>
    <row r="219" spans="1:44" s="118" customFormat="1" hidden="1" x14ac:dyDescent="0.35">
      <c r="A219" s="118">
        <f>+IF(AND(B219=$C$2,C219=$C$13),MAX($A$214:A218)+1,0)</f>
        <v>0</v>
      </c>
      <c r="B219" s="126" t="str">
        <f>+B218</f>
        <v>Campania</v>
      </c>
      <c r="C219" s="126" t="str">
        <f>+$C$160</f>
        <v>Nido / Micro-nido</v>
      </c>
      <c r="D219" s="127" t="s">
        <v>20</v>
      </c>
      <c r="E219" s="127">
        <v>0</v>
      </c>
      <c r="F219" s="127">
        <v>0</v>
      </c>
      <c r="G219" s="127">
        <v>10</v>
      </c>
      <c r="H219" s="127">
        <v>10</v>
      </c>
      <c r="I219" s="129">
        <v>0.3</v>
      </c>
      <c r="J219" s="127">
        <v>20</v>
      </c>
      <c r="K219" s="127"/>
      <c r="L219" s="127"/>
      <c r="M219" s="130">
        <v>5</v>
      </c>
      <c r="N219" s="130">
        <v>8</v>
      </c>
      <c r="O219" s="131">
        <v>5</v>
      </c>
      <c r="P219" s="131">
        <v>6</v>
      </c>
      <c r="AR219" s="4"/>
    </row>
    <row r="220" spans="1:44" s="118" customFormat="1" hidden="1" x14ac:dyDescent="0.35">
      <c r="A220" s="118">
        <f>+IF(AND(B220=$C$2,C220=$C$13),MAX($A$214:A219)+1,0)</f>
        <v>0</v>
      </c>
      <c r="B220" s="126" t="str">
        <f>+B219</f>
        <v>Campania</v>
      </c>
      <c r="C220" s="126" t="str">
        <f>+$C$161</f>
        <v>Servizi integrativi</v>
      </c>
      <c r="D220" s="127" t="s">
        <v>164</v>
      </c>
      <c r="E220" s="127">
        <v>5</v>
      </c>
      <c r="F220" s="127">
        <v>8</v>
      </c>
      <c r="G220" s="127">
        <v>10</v>
      </c>
      <c r="H220" s="127">
        <f>+AVERAGE(E220:G220)</f>
        <v>7.666666666666667</v>
      </c>
      <c r="I220" s="129">
        <v>0.3</v>
      </c>
      <c r="J220" s="127">
        <v>20</v>
      </c>
      <c r="K220" s="127"/>
      <c r="L220" s="127"/>
      <c r="M220" s="130">
        <v>1</v>
      </c>
      <c r="N220" s="130">
        <v>3</v>
      </c>
      <c r="O220" s="131">
        <v>1</v>
      </c>
      <c r="P220" s="131">
        <v>6</v>
      </c>
      <c r="AR220" s="4"/>
    </row>
    <row r="221" spans="1:44" s="118" customFormat="1" hidden="1" x14ac:dyDescent="0.35">
      <c r="A221" s="118">
        <f>+IF(AND(B221=$C$2,C221=$C$13),MAX($A$214:A220)+1,0)</f>
        <v>0</v>
      </c>
      <c r="B221" s="126" t="str">
        <f>+B220</f>
        <v>Campania</v>
      </c>
      <c r="C221" s="126" t="str">
        <f>+$C$161</f>
        <v>Servizi integrativi</v>
      </c>
      <c r="D221" s="127" t="s">
        <v>165</v>
      </c>
      <c r="E221" s="127">
        <v>15</v>
      </c>
      <c r="F221" s="127">
        <v>15</v>
      </c>
      <c r="G221" s="127">
        <v>15</v>
      </c>
      <c r="H221" s="127">
        <f>+AVERAGE(E221:G221)</f>
        <v>15</v>
      </c>
      <c r="I221" s="129">
        <v>0.3</v>
      </c>
      <c r="J221" s="127">
        <v>20</v>
      </c>
      <c r="K221" s="127"/>
      <c r="L221" s="127"/>
      <c r="M221" s="130">
        <v>1</v>
      </c>
      <c r="N221" s="130">
        <v>3</v>
      </c>
      <c r="O221" s="131">
        <v>1</v>
      </c>
      <c r="P221" s="131">
        <v>6</v>
      </c>
      <c r="AR221" s="4"/>
    </row>
    <row r="222" spans="1:44" s="118" customFormat="1" hidden="1" x14ac:dyDescent="0.35">
      <c r="A222" s="118">
        <f>+IF(AND(B222=$C$2,C222=$C$13),MAX($A$214:A221)+1,0)</f>
        <v>0</v>
      </c>
      <c r="B222" s="126" t="str">
        <f>+B221</f>
        <v>Campania</v>
      </c>
      <c r="C222" s="126" t="str">
        <f>+$C$161</f>
        <v>Servizi integrativi</v>
      </c>
      <c r="D222" s="127" t="s">
        <v>166</v>
      </c>
      <c r="E222" s="127">
        <v>5</v>
      </c>
      <c r="F222" s="127">
        <v>5</v>
      </c>
      <c r="G222" s="127">
        <v>8</v>
      </c>
      <c r="H222" s="127">
        <f>+AVERAGE(E222:G222)</f>
        <v>6</v>
      </c>
      <c r="I222" s="129">
        <v>0.3</v>
      </c>
      <c r="J222" s="127">
        <v>20</v>
      </c>
      <c r="K222" s="127"/>
      <c r="L222" s="127"/>
      <c r="M222" s="130">
        <v>1</v>
      </c>
      <c r="N222" s="130">
        <v>4</v>
      </c>
      <c r="O222" s="131">
        <v>1</v>
      </c>
      <c r="P222" s="131">
        <v>6</v>
      </c>
      <c r="AR222" s="4"/>
    </row>
    <row r="223" spans="1:44" s="118" customFormat="1" hidden="1" x14ac:dyDescent="0.35">
      <c r="A223" s="118">
        <f>+IF(AND(B223=$C$2,C223=$C$13),MAX($A$214:A222)+1,0)</f>
        <v>0</v>
      </c>
      <c r="B223" s="126" t="str">
        <f>+C157</f>
        <v>Sicilia</v>
      </c>
      <c r="C223" s="126" t="str">
        <f>+$C$160</f>
        <v>Nido / Micro-nido</v>
      </c>
      <c r="D223" s="126" t="str">
        <f>+$C$160</f>
        <v>Nido / Micro-nido</v>
      </c>
      <c r="E223" s="127">
        <v>6</v>
      </c>
      <c r="F223" s="127">
        <v>8</v>
      </c>
      <c r="G223" s="127">
        <v>10</v>
      </c>
      <c r="H223" s="127">
        <f>+AVERAGE(E223:G223)</f>
        <v>8</v>
      </c>
      <c r="I223" s="127"/>
      <c r="J223" s="127">
        <v>13</v>
      </c>
      <c r="K223" s="127"/>
      <c r="L223" s="127"/>
      <c r="M223" s="130">
        <v>6</v>
      </c>
      <c r="N223" s="130">
        <v>12</v>
      </c>
      <c r="O223" s="131">
        <v>5</v>
      </c>
      <c r="P223" s="131">
        <v>6</v>
      </c>
      <c r="AR223" s="4"/>
    </row>
    <row r="224" spans="1:44" s="118" customFormat="1" hidden="1" x14ac:dyDescent="0.35">
      <c r="A224" s="118">
        <f>+IF(AND(B224=$C$2,C224=$C$13),MAX($A$214:A223)+1,0)</f>
        <v>0</v>
      </c>
      <c r="B224" s="126" t="str">
        <f>+B223</f>
        <v>Sicilia</v>
      </c>
      <c r="C224" s="126" t="str">
        <f>+$C$160</f>
        <v>Nido / Micro-nido</v>
      </c>
      <c r="D224" s="126" t="str">
        <f>+D215</f>
        <v>Sezioni Primavera</v>
      </c>
      <c r="E224" s="127">
        <v>0</v>
      </c>
      <c r="F224" s="127">
        <v>0</v>
      </c>
      <c r="G224" s="127">
        <v>10</v>
      </c>
      <c r="H224" s="127">
        <v>10</v>
      </c>
      <c r="I224" s="127"/>
      <c r="J224" s="127">
        <v>13</v>
      </c>
      <c r="K224" s="127"/>
      <c r="L224" s="127"/>
      <c r="M224" s="130">
        <v>5</v>
      </c>
      <c r="N224" s="130">
        <v>8</v>
      </c>
      <c r="O224" s="131">
        <v>5</v>
      </c>
      <c r="P224" s="131">
        <v>6</v>
      </c>
      <c r="AR224" s="4"/>
    </row>
    <row r="225" spans="1:44" s="118" customFormat="1" hidden="1" x14ac:dyDescent="0.35">
      <c r="A225" s="118">
        <f>+IF(AND(B225=$C$2,C225=$C$13),MAX($A$214:A224)+1,0)</f>
        <v>0</v>
      </c>
      <c r="B225" s="126" t="str">
        <f>+B223</f>
        <v>Sicilia</v>
      </c>
      <c r="C225" s="126" t="str">
        <f>+$C$161</f>
        <v>Servizi integrativi</v>
      </c>
      <c r="D225" s="127" t="s">
        <v>163</v>
      </c>
      <c r="E225" s="127">
        <v>0</v>
      </c>
      <c r="F225" s="127">
        <v>10</v>
      </c>
      <c r="G225" s="127">
        <v>10</v>
      </c>
      <c r="H225" s="127">
        <v>10</v>
      </c>
      <c r="I225" s="127"/>
      <c r="J225" s="127">
        <v>25</v>
      </c>
      <c r="K225" s="127"/>
      <c r="L225" s="127"/>
      <c r="M225" s="130">
        <v>1</v>
      </c>
      <c r="N225" s="130">
        <v>5</v>
      </c>
      <c r="O225" s="131">
        <v>3</v>
      </c>
      <c r="P225" s="131">
        <v>6</v>
      </c>
      <c r="AR225" s="4"/>
    </row>
    <row r="226" spans="1:44" s="118" customFormat="1" hidden="1" x14ac:dyDescent="0.35">
      <c r="A226" s="118">
        <f>+IF(AND(B226=$C$2,C226=$C$13),MAX($A$214:A225)+1,0)</f>
        <v>0</v>
      </c>
      <c r="B226" s="126" t="str">
        <f>+B225</f>
        <v>Sicilia</v>
      </c>
      <c r="C226" s="126" t="str">
        <f>+$C$161</f>
        <v>Servizi integrativi</v>
      </c>
      <c r="D226" s="127" t="s">
        <v>162</v>
      </c>
      <c r="E226" s="127">
        <v>15</v>
      </c>
      <c r="F226" s="127">
        <v>15</v>
      </c>
      <c r="G226" s="127">
        <v>15</v>
      </c>
      <c r="H226" s="127">
        <f>+AVERAGE(E226:G226)</f>
        <v>15</v>
      </c>
      <c r="I226" s="127"/>
      <c r="J226" s="127">
        <v>25</v>
      </c>
      <c r="K226" s="127"/>
      <c r="L226" s="127"/>
      <c r="M226" s="130">
        <v>1</v>
      </c>
      <c r="N226" s="130">
        <v>5</v>
      </c>
      <c r="O226" s="131">
        <v>2</v>
      </c>
      <c r="P226" s="131">
        <v>6</v>
      </c>
      <c r="AR226" s="4"/>
    </row>
    <row r="227" spans="1:44" s="118" customFormat="1" hidden="1" x14ac:dyDescent="0.35">
      <c r="A227" s="118">
        <f>+IF(AND(B227=$C$2,C227=$C$13),MAX($A$214:A226)+1,0)</f>
        <v>1</v>
      </c>
      <c r="B227" s="126" t="str">
        <f>+C158</f>
        <v>Puglia</v>
      </c>
      <c r="C227" s="126" t="str">
        <f>+$C$160</f>
        <v>Nido / Micro-nido</v>
      </c>
      <c r="D227" s="126" t="str">
        <f>+$C$160</f>
        <v>Nido / Micro-nido</v>
      </c>
      <c r="E227" s="127">
        <v>5</v>
      </c>
      <c r="F227" s="127">
        <v>8</v>
      </c>
      <c r="G227" s="127">
        <v>10</v>
      </c>
      <c r="H227" s="127">
        <f>+AVERAGE(E227:G227)</f>
        <v>7.666666666666667</v>
      </c>
      <c r="I227" s="127"/>
      <c r="J227" s="127">
        <v>20</v>
      </c>
      <c r="K227" s="127"/>
      <c r="L227" s="127"/>
      <c r="M227" s="130">
        <v>5</v>
      </c>
      <c r="N227" s="130">
        <v>12</v>
      </c>
      <c r="O227" s="131">
        <v>5</v>
      </c>
      <c r="P227" s="131">
        <v>6</v>
      </c>
      <c r="AR227" s="4"/>
    </row>
    <row r="228" spans="1:44" s="118" customFormat="1" hidden="1" x14ac:dyDescent="0.35">
      <c r="A228" s="118">
        <f>+IF(AND(B228=$C$2,C228=$C$13),MAX($A$214:A227)+1,0)</f>
        <v>2</v>
      </c>
      <c r="B228" s="126" t="str">
        <f>+B227</f>
        <v>Puglia</v>
      </c>
      <c r="C228" s="126" t="str">
        <f>+$C$160</f>
        <v>Nido / Micro-nido</v>
      </c>
      <c r="D228" s="127" t="s">
        <v>20</v>
      </c>
      <c r="E228" s="127">
        <v>0</v>
      </c>
      <c r="F228" s="127">
        <v>0</v>
      </c>
      <c r="G228" s="127">
        <v>10</v>
      </c>
      <c r="H228" s="127">
        <v>10</v>
      </c>
      <c r="I228" s="127"/>
      <c r="J228" s="127">
        <v>20</v>
      </c>
      <c r="K228" s="127"/>
      <c r="L228" s="127"/>
      <c r="M228" s="130">
        <v>5</v>
      </c>
      <c r="N228" s="130">
        <v>12</v>
      </c>
      <c r="O228" s="131">
        <v>5</v>
      </c>
      <c r="P228" s="131">
        <v>6</v>
      </c>
      <c r="AR228" s="4"/>
    </row>
    <row r="229" spans="1:44" s="118" customFormat="1" hidden="1" x14ac:dyDescent="0.35">
      <c r="A229" s="118">
        <f>+IF(AND(B229=$C$2,C229=$C$13),MAX($A$214:A228)+1,0)</f>
        <v>0</v>
      </c>
      <c r="B229" s="126" t="str">
        <f>+B228</f>
        <v>Puglia</v>
      </c>
      <c r="C229" s="126" t="str">
        <f>+$C$161</f>
        <v>Servizi integrativi</v>
      </c>
      <c r="D229" s="127" t="s">
        <v>167</v>
      </c>
      <c r="E229" s="127">
        <v>8</v>
      </c>
      <c r="F229" s="127">
        <v>8</v>
      </c>
      <c r="G229" s="127">
        <v>15</v>
      </c>
      <c r="H229" s="127">
        <f>+AVERAGE(E229:G229)</f>
        <v>10.333333333333334</v>
      </c>
      <c r="I229" s="127"/>
      <c r="J229" s="127">
        <v>20</v>
      </c>
      <c r="K229" s="127"/>
      <c r="L229" s="127"/>
      <c r="M229" s="130">
        <v>1</v>
      </c>
      <c r="N229" s="130">
        <v>5</v>
      </c>
      <c r="O229" s="131">
        <v>1</v>
      </c>
      <c r="P229" s="131">
        <v>6</v>
      </c>
      <c r="AR229" s="4"/>
    </row>
    <row r="230" spans="1:44" s="118" customFormat="1" hidden="1" x14ac:dyDescent="0.35">
      <c r="B230" s="120"/>
      <c r="AR230" s="4"/>
    </row>
    <row r="231" spans="1:44" s="118" customFormat="1" hidden="1" x14ac:dyDescent="0.35">
      <c r="B231" s="120"/>
      <c r="AR231" s="4"/>
    </row>
    <row r="232" spans="1:44" s="118" customFormat="1" hidden="1" x14ac:dyDescent="0.35">
      <c r="B232" s="120"/>
      <c r="AR232" s="4"/>
    </row>
    <row r="233" spans="1:44" s="118" customFormat="1" hidden="1" x14ac:dyDescent="0.35">
      <c r="A233" s="118">
        <v>1</v>
      </c>
      <c r="B233" s="120" t="str">
        <f t="shared" ref="B233:B240" si="14">+IF(ISERROR(INDEX($D$214:$D$229,MATCH(A233,$A$214:$A$229,0))),"",INDEX($D$214:$D$229,MATCH(A233,$A$214:$A$229,0)))</f>
        <v>Nido / Micro-nido</v>
      </c>
      <c r="AR233" s="4"/>
    </row>
    <row r="234" spans="1:44" s="118" customFormat="1" hidden="1" x14ac:dyDescent="0.35">
      <c r="A234" s="118">
        <v>2</v>
      </c>
      <c r="B234" s="120" t="str">
        <f t="shared" si="14"/>
        <v>Sezioni Primavera</v>
      </c>
      <c r="AR234" s="4"/>
    </row>
    <row r="235" spans="1:44" s="118" customFormat="1" hidden="1" x14ac:dyDescent="0.35">
      <c r="A235" s="118">
        <v>3</v>
      </c>
      <c r="B235" s="120" t="str">
        <f t="shared" si="14"/>
        <v/>
      </c>
      <c r="AR235" s="4"/>
    </row>
    <row r="236" spans="1:44" s="118" customFormat="1" hidden="1" x14ac:dyDescent="0.35">
      <c r="A236" s="118">
        <v>4</v>
      </c>
      <c r="B236" s="120" t="str">
        <f t="shared" si="14"/>
        <v/>
      </c>
      <c r="AR236" s="4"/>
    </row>
    <row r="237" spans="1:44" s="118" customFormat="1" hidden="1" x14ac:dyDescent="0.35">
      <c r="A237" s="118">
        <v>5</v>
      </c>
      <c r="B237" s="120" t="str">
        <f t="shared" si="14"/>
        <v/>
      </c>
      <c r="AR237" s="4"/>
    </row>
    <row r="238" spans="1:44" s="118" customFormat="1" hidden="1" x14ac:dyDescent="0.35">
      <c r="A238" s="118">
        <v>6</v>
      </c>
      <c r="B238" s="120" t="str">
        <f t="shared" si="14"/>
        <v/>
      </c>
      <c r="AR238" s="4"/>
    </row>
    <row r="239" spans="1:44" s="118" customFormat="1" hidden="1" x14ac:dyDescent="0.35">
      <c r="A239" s="118">
        <v>7</v>
      </c>
      <c r="B239" s="120" t="str">
        <f t="shared" si="14"/>
        <v/>
      </c>
      <c r="AR239" s="4"/>
    </row>
    <row r="240" spans="1:44" s="118" customFormat="1" hidden="1" x14ac:dyDescent="0.35">
      <c r="A240" s="118">
        <v>8</v>
      </c>
      <c r="B240" s="120" t="str">
        <f t="shared" si="14"/>
        <v/>
      </c>
      <c r="AR240" s="4"/>
    </row>
    <row r="241" spans="1:44" s="118" customFormat="1" hidden="1" x14ac:dyDescent="0.35">
      <c r="B241" s="120"/>
      <c r="AR241" s="4"/>
    </row>
    <row r="242" spans="1:44" s="118" customFormat="1" ht="29" hidden="1" x14ac:dyDescent="0.35">
      <c r="B242" s="125" t="s">
        <v>148</v>
      </c>
      <c r="C242" s="125" t="s">
        <v>149</v>
      </c>
      <c r="D242" s="125" t="s">
        <v>19</v>
      </c>
      <c r="E242" s="125" t="s">
        <v>150</v>
      </c>
      <c r="F242" s="125" t="s">
        <v>151</v>
      </c>
      <c r="G242" s="125" t="s">
        <v>152</v>
      </c>
      <c r="H242" s="125" t="s">
        <v>153</v>
      </c>
      <c r="I242" s="125" t="s">
        <v>154</v>
      </c>
      <c r="J242" s="125" t="s">
        <v>155</v>
      </c>
      <c r="K242" s="125" t="s">
        <v>156</v>
      </c>
      <c r="L242" s="125" t="s">
        <v>157</v>
      </c>
      <c r="M242" s="125" t="s">
        <v>158</v>
      </c>
      <c r="N242" s="125" t="s">
        <v>159</v>
      </c>
      <c r="O242" s="125" t="s">
        <v>160</v>
      </c>
      <c r="P242" s="125" t="s">
        <v>161</v>
      </c>
      <c r="AR242" s="4"/>
    </row>
    <row r="243" spans="1:44" s="118" customFormat="1" hidden="1" x14ac:dyDescent="0.35">
      <c r="A243" s="127">
        <f>+A14</f>
        <v>2</v>
      </c>
      <c r="B243" s="126" t="str">
        <f t="shared" ref="B243:P243" si="15">+INDEX(B$214:B$229,MATCH($A$243,$A$214:$A$229,0))</f>
        <v>Puglia</v>
      </c>
      <c r="C243" s="126" t="str">
        <f t="shared" si="15"/>
        <v>Nido / Micro-nido</v>
      </c>
      <c r="D243" s="126" t="str">
        <f t="shared" si="15"/>
        <v>Sezioni Primavera</v>
      </c>
      <c r="E243" s="126">
        <f t="shared" si="15"/>
        <v>0</v>
      </c>
      <c r="F243" s="126">
        <f t="shared" si="15"/>
        <v>0</v>
      </c>
      <c r="G243" s="126">
        <f t="shared" si="15"/>
        <v>10</v>
      </c>
      <c r="H243" s="126">
        <f t="shared" si="15"/>
        <v>10</v>
      </c>
      <c r="I243" s="129">
        <f t="shared" si="15"/>
        <v>0</v>
      </c>
      <c r="J243" s="126">
        <f t="shared" si="15"/>
        <v>20</v>
      </c>
      <c r="K243" s="126">
        <f t="shared" si="15"/>
        <v>0</v>
      </c>
      <c r="L243" s="126">
        <f t="shared" si="15"/>
        <v>0</v>
      </c>
      <c r="M243" s="130">
        <f t="shared" si="15"/>
        <v>5</v>
      </c>
      <c r="N243" s="130">
        <f t="shared" si="15"/>
        <v>12</v>
      </c>
      <c r="O243" s="131">
        <f t="shared" si="15"/>
        <v>5</v>
      </c>
      <c r="P243" s="131">
        <f t="shared" si="15"/>
        <v>6</v>
      </c>
      <c r="AR243" s="4"/>
    </row>
    <row r="244" spans="1:44" s="118" customFormat="1" hidden="1" x14ac:dyDescent="0.35">
      <c r="B244" s="120"/>
      <c r="AR244" s="4"/>
    </row>
    <row r="245" spans="1:44" s="118" customFormat="1" hidden="1" x14ac:dyDescent="0.35">
      <c r="B245" s="120"/>
      <c r="AR245" s="4"/>
    </row>
    <row r="246" spans="1:44" s="118" customFormat="1" hidden="1" x14ac:dyDescent="0.35">
      <c r="AR246" s="4"/>
    </row>
    <row r="247" spans="1:44" hidden="1" x14ac:dyDescent="0.35"/>
    <row r="248" spans="1:44" hidden="1" x14ac:dyDescent="0.35"/>
    <row r="249" spans="1:44" hidden="1" x14ac:dyDescent="0.35"/>
    <row r="250" spans="1:44" hidden="1" x14ac:dyDescent="0.35"/>
    <row r="251" spans="1:44" hidden="1" x14ac:dyDescent="0.35"/>
    <row r="252" spans="1:44" hidden="1" x14ac:dyDescent="0.35"/>
    <row r="253" spans="1:44" hidden="1" x14ac:dyDescent="0.35"/>
  </sheetData>
  <mergeCells count="20">
    <mergeCell ref="B15:D15"/>
    <mergeCell ref="C17:E17"/>
    <mergeCell ref="C18:E18"/>
    <mergeCell ref="C19:E19"/>
    <mergeCell ref="C20:E20"/>
    <mergeCell ref="C21:E21"/>
    <mergeCell ref="D43:H43"/>
    <mergeCell ref="I43:O43"/>
    <mergeCell ref="D54:F54"/>
    <mergeCell ref="G54:H54"/>
    <mergeCell ref="I54:J54"/>
    <mergeCell ref="B123:C123"/>
    <mergeCell ref="B124:C124"/>
    <mergeCell ref="B125:C125"/>
    <mergeCell ref="B126:C126"/>
    <mergeCell ref="D85:F85"/>
    <mergeCell ref="D97:F97"/>
    <mergeCell ref="D109:F109"/>
    <mergeCell ref="B121:D121"/>
    <mergeCell ref="B122:C122"/>
  </mergeCells>
  <conditionalFormatting sqref="C45:C51">
    <cfRule type="expression" dxfId="29" priority="2">
      <formula>B45&lt;&gt;""</formula>
    </cfRule>
  </conditionalFormatting>
  <conditionalFormatting sqref="C33:C39">
    <cfRule type="expression" dxfId="28" priority="3">
      <formula>B33&lt;&gt;""</formula>
    </cfRule>
  </conditionalFormatting>
  <conditionalFormatting sqref="E45:E51">
    <cfRule type="expression" dxfId="27" priority="4">
      <formula>B45&lt;&gt;""</formula>
    </cfRule>
  </conditionalFormatting>
  <conditionalFormatting sqref="Q45:R51 I45:O51">
    <cfRule type="expression" dxfId="26" priority="5">
      <formula>$B45&lt;&gt;""</formula>
    </cfRule>
  </conditionalFormatting>
  <conditionalFormatting sqref="H56:H62">
    <cfRule type="expression" dxfId="25" priority="6">
      <formula>$B45&lt;&gt;""</formula>
    </cfRule>
  </conditionalFormatting>
  <conditionalFormatting sqref="J56:J62">
    <cfRule type="expression" dxfId="24" priority="7">
      <formula>$B45&lt;&gt;""</formula>
    </cfRule>
  </conditionalFormatting>
  <conditionalFormatting sqref="L56:L62">
    <cfRule type="expression" dxfId="23" priority="8">
      <formula>$B45&lt;&gt;""</formula>
    </cfRule>
  </conditionalFormatting>
  <conditionalFormatting sqref="G88:G94">
    <cfRule type="expression" dxfId="22" priority="9">
      <formula>G88&lt;&gt;Q45</formula>
    </cfRule>
  </conditionalFormatting>
  <conditionalFormatting sqref="C72:D72">
    <cfRule type="expression" dxfId="21" priority="10">
      <formula>$C$71=$C$203</formula>
    </cfRule>
  </conditionalFormatting>
  <conditionalFormatting sqref="B76:D76">
    <cfRule type="expression" dxfId="20" priority="11">
      <formula>OR($C$25=$C$193,$C$25=$C$196)</formula>
    </cfRule>
  </conditionalFormatting>
  <conditionalFormatting sqref="F45:H51">
    <cfRule type="expression" dxfId="19" priority="12">
      <formula>$E45=$C$202</formula>
    </cfRule>
  </conditionalFormatting>
  <conditionalFormatting sqref="D45:D51">
    <cfRule type="expression" dxfId="18" priority="13">
      <formula>AND($E45=$C$202,D45&lt;&gt;SUM(F45:H45))</formula>
    </cfRule>
    <cfRule type="expression" dxfId="17" priority="14">
      <formula>B45&lt;&gt;""</formula>
    </cfRule>
  </conditionalFormatting>
  <conditionalFormatting sqref="M54">
    <cfRule type="expression" dxfId="16" priority="15">
      <formula>OR($C$25=$C$195,$C$25=$C$196)</formula>
    </cfRule>
  </conditionalFormatting>
  <conditionalFormatting sqref="P45:P51">
    <cfRule type="expression" dxfId="15" priority="16">
      <formula>AND($C45&lt;&gt;$C$165,OR(P45&gt;$P$243,P45&lt;$O$243),$B45&lt;&gt;"")</formula>
    </cfRule>
  </conditionalFormatting>
  <conditionalFormatting sqref="C67:D67">
    <cfRule type="expression" dxfId="14" priority="17">
      <formula>$C$66=$C$203</formula>
    </cfRule>
  </conditionalFormatting>
  <conditionalFormatting sqref="C76">
    <cfRule type="expression" dxfId="13" priority="18">
      <formula>OR($C$25=$C$193,$C$25=$C$196)</formula>
    </cfRule>
  </conditionalFormatting>
  <conditionalFormatting sqref="C73:D73">
    <cfRule type="expression" dxfId="12" priority="19">
      <formula>$C$102=$C$156</formula>
    </cfRule>
  </conditionalFormatting>
  <conditionalFormatting sqref="M56:M62">
    <cfRule type="expression" dxfId="11" priority="20">
      <formula>OR($C$25=$C$195,$C$25=$C$196)</formula>
    </cfRule>
    <cfRule type="expression" dxfId="10" priority="21">
      <formula>AND($B45&lt;&gt;"",OR($C$25=$C$195,$C$25=$C$196))</formula>
    </cfRule>
  </conditionalFormatting>
  <conditionalFormatting sqref="D88:F88 D92:F94">
    <cfRule type="expression" dxfId="9" priority="22">
      <formula>$B45&lt;&gt;""</formula>
    </cfRule>
  </conditionalFormatting>
  <conditionalFormatting sqref="D89:F91">
    <cfRule type="expression" dxfId="8" priority="23">
      <formula>$B46&lt;&gt;""</formula>
    </cfRule>
  </conditionalFormatting>
  <dataValidations count="18">
    <dataValidation type="list" allowBlank="1" showInputMessage="1" showErrorMessage="1" sqref="E45:E51 C66 C71 C78" xr:uid="{00000000-0002-0000-0000-000000000000}">
      <formula1>$C$202:$C$203</formula1>
      <formula2>0</formula2>
    </dataValidation>
    <dataValidation type="list" allowBlank="1" showInputMessage="1" showErrorMessage="1" sqref="C81" xr:uid="{00000000-0002-0000-0000-000001000000}">
      <formula1>$C$205:$C$207</formula1>
      <formula2>0</formula2>
    </dataValidation>
    <dataValidation type="list" allowBlank="1" showInputMessage="1" showErrorMessage="1" sqref="C25" xr:uid="{00000000-0002-0000-0000-000002000000}">
      <formula1>$C$192:$C$196</formula1>
      <formula2>0</formula2>
    </dataValidation>
    <dataValidation type="list" allowBlank="1" showInputMessage="1" showErrorMessage="1" sqref="C26" xr:uid="{00000000-0002-0000-0000-000003000000}">
      <formula1>$C$198:$C$200</formula1>
      <formula2>0</formula2>
    </dataValidation>
    <dataValidation type="list" allowBlank="1" showInputMessage="1" showErrorMessage="1" sqref="C2" xr:uid="{00000000-0002-0000-0000-000004000000}">
      <formula1>$C$155:$C$158</formula1>
      <formula2>0</formula2>
    </dataValidation>
    <dataValidation type="list" allowBlank="1" showInputMessage="1" showErrorMessage="1" sqref="C13" xr:uid="{00000000-0002-0000-0000-000005000000}">
      <formula1>$C$160:$C$161</formula1>
      <formula2>0</formula2>
    </dataValidation>
    <dataValidation type="list" allowBlank="1" showInputMessage="1" showErrorMessage="1" sqref="C14" xr:uid="{00000000-0002-0000-0000-000006000000}">
      <formula1>INDIRECT(ADDRESS(ROW(B233),COLUMN(B233))&amp;":"&amp;ADDRESS(ROW(B233)-1+$A$213,COLUMN(B233)))</formula1>
      <formula2>0</formula2>
    </dataValidation>
    <dataValidation type="list" allowBlank="1" showInputMessage="1" showErrorMessage="1" sqref="C45:C51" xr:uid="{00000000-0002-0000-0000-000007000000}">
      <formula1>INDIRECT(ADDRESS(ROW($B$185),COLUMN(B185))&amp;":"&amp;ADDRESS(ROW($B$185)-1+$A$167,COLUMN($B$185)))</formula1>
      <formula2>0</formula2>
    </dataValidation>
    <dataValidation type="custom" allowBlank="1" showInputMessage="1" showErrorMessage="1" error="non è possibile prevedere unità equivalenti superiori al limite massimo_x000a_" sqref="H56:H62 J56:J62" xr:uid="{00000000-0002-0000-0000-000008000000}">
      <formula1>H56&lt;=G56</formula1>
      <formula2>0</formula2>
    </dataValidation>
    <dataValidation type="custom" allowBlank="1" showInputMessage="1" showErrorMessage="1" error="Il Costo del singolo pasto non può diverso da 4€" sqref="L56:L62" xr:uid="{00000000-0002-0000-0000-000009000000}">
      <formula1>OR(L56=4,L56=0)</formula1>
      <formula2>0</formula2>
    </dataValidation>
    <dataValidation type="custom" allowBlank="1" showInputMessage="1" showErrorMessage="1" error="non è possibile prevedere utenti in questa fascia di età per questo servizio" sqref="F45:H51" xr:uid="{00000000-0002-0000-0000-00000A000000}">
      <formula1>OR(F45=0,E$243&gt;0)</formula1>
      <formula2>0</formula2>
    </dataValidation>
    <dataValidation allowBlank="1" showInputMessage="1" showErrorMessage="1" error="In umero di ore inserite non corrisponde ai limiti minimi e massimi previsti" sqref="N45:O51" xr:uid="{00000000-0002-0000-0000-00000B000000}">
      <formula1>0</formula1>
      <formula2>0</formula2>
    </dataValidation>
    <dataValidation type="list" allowBlank="1" showInputMessage="1" showErrorMessage="1" sqref="B45:B51" xr:uid="{00000000-0002-0000-0000-00000C000000}">
      <formula1>$B$33:$B$39</formula1>
      <formula2>0</formula2>
    </dataValidation>
    <dataValidation type="custom" allowBlank="1" showInputMessage="1" showErrorMessage="1" error="Non è possibile prevedere di sostenere un numero di utenti maggiore di quelli esistenti nell'a.s. 2013-2014" sqref="D45:D51" xr:uid="{00000000-0002-0000-0000-00000D000000}">
      <formula1>IF(C45=$C$166,D45&lt;=INDEX($C$33:$C$39,MATCH(B45,$B$33:$B$39,0)),D45&gt;0)</formula1>
      <formula2>0</formula2>
    </dataValidation>
    <dataValidation type="custom" allowBlank="1" showInputMessage="1" showErrorMessage="1" error="Il valore inserito deve essere positivo o pari a zero" sqref="M56:M62" xr:uid="{00000000-0002-0000-0000-00000E000000}">
      <formula1>M56&gt;=0</formula1>
      <formula2>0</formula2>
    </dataValidation>
    <dataValidation type="list" allowBlank="1" showInputMessage="1" showErrorMessage="1" sqref="C27" xr:uid="{00000000-0002-0000-0000-00000F000000}">
      <formula1>IF($C$26=$C$198,$D$198:$D$198,$D$199:$D$199)</formula1>
      <formula2>0</formula2>
    </dataValidation>
    <dataValidation type="custom" allowBlank="1" showInputMessage="1" showErrorMessage="1" error="hai inserito un numero di mesi superiori a quelli compresi nel persiodo di riferimento." sqref="D88:F94" xr:uid="{00000000-0002-0000-0000-000010000000}">
      <formula1>D88&lt;=D$87</formula1>
      <formula2>0</formula2>
    </dataValidation>
    <dataValidation type="custom" allowBlank="1" showInputMessage="1" showErrorMessage="1" error="In umero di ore inserite non corrisponde ai limiti minimi e massimi previsti" sqref="I45:M51" xr:uid="{00000000-0002-0000-0000-000011000000}">
      <formula1>OR(AND(I45&lt;=$N$243,I45&gt;=$M$243),$C45=$C$165,I45=0)</formula1>
      <formula2>0</formula2>
    </dataValidation>
  </dataValidations>
  <pageMargins left="0.7" right="0.7" top="0.75" bottom="0.75" header="0.51180555555555496" footer="0.51180555555555496"/>
  <pageSetup paperSize="9" firstPageNumber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130"/>
  <sheetViews>
    <sheetView zoomScaleNormal="100" workbookViewId="0">
      <selection activeCell="A124" sqref="A124"/>
    </sheetView>
  </sheetViews>
  <sheetFormatPr defaultColWidth="7.453125" defaultRowHeight="14.5" x14ac:dyDescent="0.35"/>
  <cols>
    <col min="45" max="47" width="7.453125" hidden="1"/>
    <col min="48" max="48" width="64.26953125" style="132" hidden="1" customWidth="1"/>
    <col min="49" max="49" width="2.54296875" hidden="1" customWidth="1"/>
    <col min="50" max="50" width="44.54296875" style="132" hidden="1" customWidth="1"/>
    <col min="51" max="57" width="7.453125" hidden="1"/>
    <col min="58" max="58" width="11.54296875" hidden="1" customWidth="1"/>
  </cols>
  <sheetData>
    <row r="1" spans="1:48" ht="32.25" customHeight="1" x14ac:dyDescent="0.35">
      <c r="A1" s="346" t="s">
        <v>168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</row>
    <row r="2" spans="1:48" x14ac:dyDescent="0.35">
      <c r="A2" s="345" t="s">
        <v>169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</row>
    <row r="3" spans="1:48" x14ac:dyDescent="0.35">
      <c r="A3" s="336" t="str">
        <f>+INPUT!C13</f>
        <v>Nido / Micro-nido</v>
      </c>
      <c r="B3" s="336"/>
      <c r="C3" s="336"/>
      <c r="D3" s="336"/>
      <c r="E3" s="336"/>
      <c r="F3" s="336"/>
      <c r="G3" s="336"/>
      <c r="H3" s="336"/>
      <c r="I3" s="336"/>
      <c r="J3" s="336"/>
      <c r="K3" s="336"/>
      <c r="L3" s="336"/>
      <c r="M3" s="336"/>
      <c r="N3" s="336"/>
      <c r="O3" s="336"/>
    </row>
    <row r="4" spans="1:48" x14ac:dyDescent="0.35">
      <c r="A4" s="336" t="str">
        <f>+INPUT!C14</f>
        <v>Sezioni Primavera</v>
      </c>
      <c r="B4" s="336"/>
      <c r="C4" s="336"/>
      <c r="D4" s="336"/>
      <c r="E4" s="336"/>
      <c r="F4" s="336"/>
      <c r="G4" s="336"/>
      <c r="H4" s="336"/>
      <c r="I4" s="336"/>
      <c r="J4" s="336"/>
      <c r="K4" s="336"/>
      <c r="L4" s="336"/>
      <c r="M4" s="336"/>
      <c r="N4" s="336"/>
      <c r="O4" s="336"/>
    </row>
    <row r="5" spans="1:48" x14ac:dyDescent="0.35">
      <c r="A5" s="329" t="s">
        <v>170</v>
      </c>
      <c r="B5" s="329"/>
      <c r="C5" s="329"/>
      <c r="D5" s="329"/>
      <c r="E5" s="329"/>
      <c r="F5" s="329"/>
      <c r="G5" s="329"/>
      <c r="H5" s="329"/>
      <c r="I5" s="329"/>
      <c r="J5" s="329"/>
      <c r="K5" s="329"/>
      <c r="L5" s="329"/>
      <c r="M5" s="329"/>
      <c r="N5" s="329"/>
      <c r="O5" s="329"/>
    </row>
    <row r="6" spans="1:48" x14ac:dyDescent="0.35">
      <c r="A6" t="s">
        <v>171</v>
      </c>
      <c r="B6" s="345" t="s">
        <v>3</v>
      </c>
      <c r="C6" s="345"/>
      <c r="D6" s="345"/>
      <c r="E6" s="319" t="str">
        <f>+INPUT!C3</f>
        <v>sostegno alla gestione sezione primavera</v>
      </c>
      <c r="F6" s="319"/>
      <c r="G6" s="319"/>
      <c r="H6" s="319"/>
      <c r="I6" s="319"/>
      <c r="J6" s="319"/>
      <c r="K6" s="319"/>
      <c r="L6" s="319"/>
      <c r="M6" s="319"/>
      <c r="N6" s="319"/>
      <c r="O6" s="319"/>
      <c r="AV6" s="132" t="str">
        <f t="shared" ref="AV6:AV11" si="0">+E6</f>
        <v>sostegno alla gestione sezione primavera</v>
      </c>
    </row>
    <row r="7" spans="1:48" x14ac:dyDescent="0.35">
      <c r="A7" t="s">
        <v>172</v>
      </c>
      <c r="B7" s="345" t="s">
        <v>5</v>
      </c>
      <c r="C7" s="345"/>
      <c r="D7" s="345"/>
      <c r="E7" s="319" t="str">
        <f>+INPUT!C4</f>
        <v>Comuni nel Territorio Consorzio  BR4</v>
      </c>
      <c r="F7" s="319"/>
      <c r="G7" s="319"/>
      <c r="H7" s="319"/>
      <c r="I7" s="319"/>
      <c r="J7" s="319"/>
      <c r="K7" s="319"/>
      <c r="L7" s="319"/>
      <c r="M7" s="319"/>
      <c r="N7" s="319"/>
      <c r="O7" s="319"/>
      <c r="AV7" s="132" t="str">
        <f t="shared" si="0"/>
        <v>Comuni nel Territorio Consorzio  BR4</v>
      </c>
    </row>
    <row r="8" spans="1:48" x14ac:dyDescent="0.35">
      <c r="A8" t="s">
        <v>173</v>
      </c>
      <c r="B8" s="345" t="s">
        <v>7</v>
      </c>
      <c r="C8" s="345"/>
      <c r="D8" s="345"/>
      <c r="E8" s="319" t="str">
        <f>+INPUT!C5</f>
        <v xml:space="preserve">Consorzio Ambito BR.4 </v>
      </c>
      <c r="F8" s="319"/>
      <c r="G8" s="319"/>
      <c r="H8" s="319"/>
      <c r="I8" s="319"/>
      <c r="J8" s="319"/>
      <c r="K8" s="319"/>
      <c r="L8" s="319"/>
      <c r="M8" s="319"/>
      <c r="N8" s="319"/>
      <c r="O8" s="319"/>
      <c r="AV8" s="132" t="str">
        <f t="shared" si="0"/>
        <v xml:space="preserve">Consorzio Ambito BR.4 </v>
      </c>
    </row>
    <row r="9" spans="1:48" x14ac:dyDescent="0.35">
      <c r="A9" t="s">
        <v>174</v>
      </c>
      <c r="B9" s="345" t="s">
        <v>9</v>
      </c>
      <c r="C9" s="345"/>
      <c r="D9" s="345"/>
      <c r="E9" s="319" t="str">
        <f>+INPUT!C6</f>
        <v>BUDANO PIERPAOLO</v>
      </c>
      <c r="F9" s="319"/>
      <c r="G9" s="319"/>
      <c r="H9" s="319"/>
      <c r="I9" s="319"/>
      <c r="J9" s="319"/>
      <c r="K9" s="319"/>
      <c r="L9" s="319"/>
      <c r="M9" s="319"/>
      <c r="N9" s="319"/>
      <c r="O9" s="319"/>
      <c r="AV9" s="132" t="str">
        <f t="shared" si="0"/>
        <v>BUDANO PIERPAOLO</v>
      </c>
    </row>
    <row r="10" spans="1:48" x14ac:dyDescent="0.35">
      <c r="A10" t="s">
        <v>175</v>
      </c>
      <c r="B10" s="345" t="s">
        <v>11</v>
      </c>
      <c r="C10" s="345"/>
      <c r="D10" s="345"/>
      <c r="E10" s="319" t="str">
        <f>+INPUT!C7</f>
        <v>0831779207 - 3883441016</v>
      </c>
      <c r="F10" s="319"/>
      <c r="G10" s="319"/>
      <c r="H10" s="319"/>
      <c r="I10" s="319"/>
      <c r="J10" s="319"/>
      <c r="K10" s="319"/>
      <c r="L10" s="319"/>
      <c r="M10" s="319"/>
      <c r="N10" s="319"/>
      <c r="O10" s="319"/>
      <c r="AV10" s="132" t="str">
        <f t="shared" si="0"/>
        <v>0831779207 - 3883441016</v>
      </c>
    </row>
    <row r="11" spans="1:48" x14ac:dyDescent="0.35">
      <c r="A11" t="s">
        <v>176</v>
      </c>
      <c r="B11" s="345" t="s">
        <v>13</v>
      </c>
      <c r="C11" s="345"/>
      <c r="D11" s="345"/>
      <c r="E11" s="319" t="str">
        <f>+INPUT!C8</f>
        <v>info@ambitomesagne.it</v>
      </c>
      <c r="F11" s="319"/>
      <c r="G11" s="319"/>
      <c r="H11" s="319"/>
      <c r="I11" s="319"/>
      <c r="J11" s="319"/>
      <c r="K11" s="319"/>
      <c r="L11" s="319"/>
      <c r="M11" s="319"/>
      <c r="N11" s="319"/>
      <c r="O11" s="319"/>
      <c r="AV11" s="132" t="str">
        <f t="shared" si="0"/>
        <v>info@ambitomesagne.it</v>
      </c>
    </row>
    <row r="12" spans="1:48" x14ac:dyDescent="0.35">
      <c r="A12" t="s">
        <v>177</v>
      </c>
      <c r="B12" s="345" t="s">
        <v>178</v>
      </c>
      <c r="C12" s="345"/>
      <c r="D12" s="345"/>
      <c r="E12" s="345"/>
      <c r="F12" s="345"/>
      <c r="G12" s="345"/>
      <c r="H12" s="345"/>
      <c r="I12" s="345"/>
      <c r="J12" s="345"/>
      <c r="K12" s="344">
        <f>+INPUT!H147</f>
        <v>120013.5286767144</v>
      </c>
      <c r="L12" s="344"/>
      <c r="M12" s="344"/>
      <c r="N12" s="344"/>
      <c r="O12" s="344"/>
    </row>
    <row r="13" spans="1:48" x14ac:dyDescent="0.35">
      <c r="B13" s="133" t="s">
        <v>179</v>
      </c>
      <c r="E13" s="134"/>
      <c r="F13" s="135"/>
      <c r="G13" s="135"/>
      <c r="H13" s="135"/>
    </row>
    <row r="14" spans="1:48" x14ac:dyDescent="0.35">
      <c r="B14" s="341" t="str">
        <f>INPUT!C163</f>
        <v>Servizio di nuova istituzione/utenti aggiuntivi</v>
      </c>
      <c r="C14" s="341"/>
      <c r="D14" s="341"/>
      <c r="E14" s="341"/>
      <c r="F14" s="341"/>
      <c r="G14" s="341"/>
      <c r="H14" s="341"/>
      <c r="I14" s="341"/>
      <c r="J14" s="341"/>
      <c r="K14" s="344">
        <f>+SUMPRODUCT((INPUT!$C$45:$C$51='SCHEDA DI INTERVENTO'!B14)*INPUT!$L$88:$L$94)</f>
        <v>120013.5286767144</v>
      </c>
      <c r="L14" s="344"/>
      <c r="M14" s="344"/>
      <c r="N14" s="344"/>
      <c r="O14" s="344"/>
    </row>
    <row r="15" spans="1:48" x14ac:dyDescent="0.35">
      <c r="B15" s="341" t="str">
        <f>INPUT!C164</f>
        <v>Estensione del periodo di apertura (mensilità aggiuntive)</v>
      </c>
      <c r="C15" s="341"/>
      <c r="D15" s="341"/>
      <c r="E15" s="341"/>
      <c r="F15" s="341"/>
      <c r="G15" s="341"/>
      <c r="H15" s="341"/>
      <c r="I15" s="341"/>
      <c r="J15" s="341"/>
      <c r="K15" s="344">
        <f>+SUMPRODUCT((INPUT!$C$45:$C$51='SCHEDA DI INTERVENTO'!B15)*INPUT!$L$88:$L$94)</f>
        <v>0</v>
      </c>
      <c r="L15" s="344"/>
      <c r="M15" s="344"/>
      <c r="N15" s="344"/>
      <c r="O15" s="344"/>
    </row>
    <row r="16" spans="1:48" x14ac:dyDescent="0.35">
      <c r="B16" s="341" t="str">
        <f>INPUT!C165</f>
        <v>Estensione dell'orario di servizio (maggiore orario settimanale)</v>
      </c>
      <c r="C16" s="341"/>
      <c r="D16" s="341"/>
      <c r="E16" s="341"/>
      <c r="F16" s="341"/>
      <c r="G16" s="341"/>
      <c r="H16" s="341"/>
      <c r="I16" s="341"/>
      <c r="J16" s="341"/>
      <c r="K16" s="344">
        <f>+SUMPRODUCT((INPUT!$C$45:$C$51='SCHEDA DI INTERVENTO'!B16)*INPUT!$L$88:$L$94)</f>
        <v>0</v>
      </c>
      <c r="L16" s="344"/>
      <c r="M16" s="344"/>
      <c r="N16" s="344"/>
      <c r="O16" s="344"/>
    </row>
    <row r="17" spans="1:48" x14ac:dyDescent="0.35">
      <c r="B17" s="341" t="str">
        <f>INPUT!C166</f>
        <v>Sostegno alla gestione di servizi ed utenti già attivati</v>
      </c>
      <c r="C17" s="341"/>
      <c r="D17" s="341"/>
      <c r="E17" s="341"/>
      <c r="F17" s="341"/>
      <c r="G17" s="341"/>
      <c r="H17" s="341"/>
      <c r="I17" s="341"/>
      <c r="J17" s="341"/>
      <c r="K17" s="344">
        <f>+SUMPRODUCT((INPUT!$C$45:$C$51='SCHEDA DI INTERVENTO'!B17)*INPUT!$L$88:$L$94)</f>
        <v>0</v>
      </c>
      <c r="L17" s="344"/>
      <c r="M17" s="344"/>
      <c r="N17" s="344"/>
      <c r="O17" s="344"/>
    </row>
    <row r="19" spans="1:48" x14ac:dyDescent="0.35">
      <c r="A19" s="329" t="s">
        <v>180</v>
      </c>
      <c r="B19" s="329"/>
      <c r="C19" s="329"/>
      <c r="D19" s="329"/>
      <c r="E19" s="329"/>
      <c r="F19" s="329"/>
      <c r="G19" s="329"/>
      <c r="H19" s="329"/>
      <c r="I19" s="329"/>
      <c r="J19" s="329"/>
      <c r="K19" s="329"/>
      <c r="L19" s="329"/>
      <c r="M19" s="329"/>
      <c r="N19" s="329"/>
      <c r="O19" s="329"/>
    </row>
    <row r="20" spans="1:48" x14ac:dyDescent="0.35">
      <c r="A20" t="s">
        <v>171</v>
      </c>
      <c r="B20" t="s">
        <v>22</v>
      </c>
      <c r="E20" s="319" t="str">
        <f>+INPUT!C17</f>
        <v>Gestione Sezione Primavera</v>
      </c>
      <c r="F20" s="319"/>
      <c r="G20" s="319"/>
      <c r="H20" s="319"/>
      <c r="I20" s="319"/>
      <c r="J20" s="319"/>
      <c r="K20" s="319"/>
      <c r="L20" s="319"/>
      <c r="M20" s="319"/>
      <c r="N20" s="319"/>
      <c r="O20" s="319"/>
    </row>
    <row r="21" spans="1:48" x14ac:dyDescent="0.35">
      <c r="A21" t="s">
        <v>181</v>
      </c>
      <c r="B21" t="s">
        <v>32</v>
      </c>
      <c r="E21" s="342" t="str">
        <f>+INPUT!C25</f>
        <v>appalto di servizio ex D.lgs 50/2016 e ss.mm.ii. da bandire</v>
      </c>
      <c r="F21" s="342"/>
      <c r="G21" s="342"/>
      <c r="H21" s="342"/>
      <c r="I21" s="342"/>
      <c r="J21" s="342"/>
      <c r="K21" s="342"/>
      <c r="L21" s="342"/>
      <c r="M21" s="342"/>
      <c r="N21" s="342"/>
      <c r="O21" s="342"/>
    </row>
    <row r="22" spans="1:48" x14ac:dyDescent="0.35">
      <c r="A22" t="s">
        <v>173</v>
      </c>
      <c r="B22" t="s">
        <v>24</v>
      </c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</row>
    <row r="23" spans="1:48" x14ac:dyDescent="0.35">
      <c r="E23" s="319" t="str">
        <f>+INPUT!C18</f>
        <v>Regolamento regionale R.R. 4/2007 E SS.MM.II.</v>
      </c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AV23" s="132" t="str">
        <f>+E23</f>
        <v>Regolamento regionale R.R. 4/2007 E SS.MM.II.</v>
      </c>
    </row>
    <row r="24" spans="1:48" x14ac:dyDescent="0.35">
      <c r="A24" t="s">
        <v>182</v>
      </c>
      <c r="B24" t="s">
        <v>26</v>
      </c>
      <c r="E24" s="136"/>
      <c r="F24" s="136"/>
      <c r="G24" s="136"/>
      <c r="H24" s="136"/>
      <c r="I24" s="136"/>
      <c r="J24" s="136"/>
      <c r="K24" s="136"/>
      <c r="L24" s="136"/>
      <c r="M24" s="136"/>
      <c r="N24" s="136"/>
      <c r="O24" s="136"/>
    </row>
    <row r="25" spans="1:48" ht="43.5" x14ac:dyDescent="0.35">
      <c r="E25" s="319" t="str">
        <f>+INPUT!C19</f>
        <v>L'attività è soggetta ad autorizzazione al funzionamento rilasciata prima dell'avvio delle attività contenente la conferma della titolarità e rispettivo aggiornamento del soggetto gestore</v>
      </c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AV25" s="132" t="str">
        <f>+E25</f>
        <v>L'attività è soggetta ad autorizzazione al funzionamento rilasciata prima dell'avvio delle attività contenente la conferma della titolarità e rispettivo aggiornamento del soggetto gestore</v>
      </c>
    </row>
    <row r="26" spans="1:48" x14ac:dyDescent="0.35">
      <c r="A26" t="s">
        <v>175</v>
      </c>
      <c r="B26" t="s">
        <v>28</v>
      </c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</row>
    <row r="27" spans="1:48" ht="43.5" x14ac:dyDescent="0.35">
      <c r="E27" s="319" t="str">
        <f>+INPUT!C20</f>
        <v>Delibera del comune approvata in sede di bilancio di previsione contenente importi da corrispondere in base alle fasce di reddito dell'utenza</v>
      </c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AV27" s="132" t="str">
        <f>+E27</f>
        <v>Delibera del comune approvata in sede di bilancio di previsione contenente importi da corrispondere in base alle fasce di reddito dell'utenza</v>
      </c>
    </row>
    <row r="28" spans="1:48" x14ac:dyDescent="0.35">
      <c r="A28" t="s">
        <v>183</v>
      </c>
      <c r="B28" t="s">
        <v>30</v>
      </c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</row>
    <row r="29" spans="1:48" x14ac:dyDescent="0.35">
      <c r="E29" s="319" t="str">
        <f>+INPUT!C21</f>
        <v>le quote sono definite in base all'indicatore  ISEE</v>
      </c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AV29" s="132" t="str">
        <f>+E29</f>
        <v>le quote sono definite in base all'indicatore  ISEE</v>
      </c>
    </row>
    <row r="30" spans="1:48" x14ac:dyDescent="0.35"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</row>
    <row r="31" spans="1:48" x14ac:dyDescent="0.35">
      <c r="E31" s="136"/>
      <c r="F31" s="136"/>
      <c r="G31" s="136"/>
      <c r="H31" s="136"/>
      <c r="I31" s="336" t="s">
        <v>184</v>
      </c>
      <c r="J31" s="336"/>
    </row>
    <row r="32" spans="1:48" x14ac:dyDescent="0.35">
      <c r="A32" t="s">
        <v>185</v>
      </c>
      <c r="B32" s="341" t="s">
        <v>186</v>
      </c>
      <c r="C32" s="341"/>
      <c r="D32" s="341"/>
      <c r="E32" s="341"/>
      <c r="F32" s="341"/>
      <c r="G32" s="341"/>
      <c r="H32" s="341"/>
      <c r="I32" s="343">
        <f>+SUM(utentiAttualiDettaglio)</f>
        <v>0</v>
      </c>
      <c r="J32" s="343"/>
    </row>
    <row r="33" spans="1:15" x14ac:dyDescent="0.35"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</row>
    <row r="34" spans="1:15" x14ac:dyDescent="0.35">
      <c r="A34" t="s">
        <v>187</v>
      </c>
      <c r="B34" s="341" t="s">
        <v>188</v>
      </c>
      <c r="C34" s="341"/>
      <c r="D34" s="341"/>
      <c r="E34" s="341"/>
      <c r="F34" s="341"/>
      <c r="G34" s="341"/>
      <c r="H34" s="341"/>
      <c r="I34" s="336" t="s">
        <v>184</v>
      </c>
      <c r="J34" s="336"/>
      <c r="K34" s="336" t="s">
        <v>189</v>
      </c>
      <c r="L34" s="336"/>
      <c r="M34" s="336" t="s">
        <v>190</v>
      </c>
      <c r="N34" s="336"/>
      <c r="O34" s="136"/>
    </row>
    <row r="35" spans="1:15" x14ac:dyDescent="0.35">
      <c r="B35" s="339" t="str">
        <f>+B14</f>
        <v>Servizio di nuova istituzione/utenti aggiuntivi</v>
      </c>
      <c r="C35" s="339"/>
      <c r="D35" s="339"/>
      <c r="E35" s="339"/>
      <c r="F35" s="339"/>
      <c r="G35" s="339"/>
      <c r="H35" s="339"/>
      <c r="I35" s="334">
        <f>+SUMPRODUCT((tipologiaInterventoPacDettaglio=B35)*utentiPacDettaglio)</f>
        <v>20</v>
      </c>
      <c r="J35" s="334"/>
      <c r="K35" s="334">
        <f>+SUMPRODUCT((tipologiaInterventoPacDettaglio=B35)*mensilitàPacDettaglio)</f>
        <v>13</v>
      </c>
      <c r="L35" s="334"/>
      <c r="M35" s="334">
        <f>+SUMPRODUCT((tipologiaInterventoPacDettaglio=B35)*oreServizioPacDettaglio)</f>
        <v>2309.489</v>
      </c>
      <c r="N35" s="334"/>
      <c r="O35" s="136"/>
    </row>
    <row r="36" spans="1:15" x14ac:dyDescent="0.35">
      <c r="B36" s="339" t="str">
        <f>+B15</f>
        <v>Estensione del periodo di apertura (mensilità aggiuntive)</v>
      </c>
      <c r="C36" s="339"/>
      <c r="D36" s="339"/>
      <c r="E36" s="339"/>
      <c r="F36" s="339"/>
      <c r="G36" s="339"/>
      <c r="H36" s="339"/>
      <c r="I36" s="334">
        <f>+SUMPRODUCT((tipologiaInterventoPacDettaglio=B36)*utentiPacDettaglio)</f>
        <v>0</v>
      </c>
      <c r="J36" s="334"/>
      <c r="K36" s="334">
        <f>+SUMPRODUCT((tipologiaInterventoPacDettaglio=B36)*mensilitàPacDettaglio)</f>
        <v>0</v>
      </c>
      <c r="L36" s="334"/>
      <c r="M36" s="334">
        <f>+SUMPRODUCT((tipologiaInterventoPacDettaglio=B36)*oreServizioPacDettaglio)</f>
        <v>0</v>
      </c>
      <c r="N36" s="334"/>
      <c r="O36" s="136"/>
    </row>
    <row r="37" spans="1:15" x14ac:dyDescent="0.35">
      <c r="B37" s="339" t="str">
        <f>+B16</f>
        <v>Estensione dell'orario di servizio (maggiore orario settimanale)</v>
      </c>
      <c r="C37" s="339"/>
      <c r="D37" s="339"/>
      <c r="E37" s="339"/>
      <c r="F37" s="339"/>
      <c r="G37" s="339"/>
      <c r="H37" s="339"/>
      <c r="I37" s="334">
        <f>+SUMPRODUCT((tipologiaInterventoPacDettaglio=B37)*utentiPacDettaglio)</f>
        <v>0</v>
      </c>
      <c r="J37" s="334"/>
      <c r="K37" s="334">
        <f>+SUMPRODUCT((tipologiaInterventoPacDettaglio=B37)*mensilitàPacDettaglio)</f>
        <v>0</v>
      </c>
      <c r="L37" s="334"/>
      <c r="M37" s="334">
        <f>+SUMPRODUCT((tipologiaInterventoPacDettaglio=B37)*oreServizioPacDettaglio)</f>
        <v>0</v>
      </c>
      <c r="N37" s="334"/>
      <c r="O37" s="136"/>
    </row>
    <row r="38" spans="1:15" x14ac:dyDescent="0.35">
      <c r="B38" s="339" t="str">
        <f>+B17</f>
        <v>Sostegno alla gestione di servizi ed utenti già attivati</v>
      </c>
      <c r="C38" s="339"/>
      <c r="D38" s="339"/>
      <c r="E38" s="339"/>
      <c r="F38" s="339"/>
      <c r="G38" s="339"/>
      <c r="H38" s="339"/>
      <c r="I38" s="334">
        <f>+SUMPRODUCT((tipologiaInterventoPacDettaglio=B38)*utentiPacDettaglio)</f>
        <v>0</v>
      </c>
      <c r="J38" s="334"/>
      <c r="K38" s="334">
        <f>+SUMPRODUCT((tipologiaInterventoPacDettaglio=B38)*mensilitàPacDettaglio)</f>
        <v>0</v>
      </c>
      <c r="L38" s="334"/>
      <c r="M38" s="334">
        <f>+SUMPRODUCT((tipologiaInterventoPacDettaglio=B38)*oreServizioPacDettaglio)</f>
        <v>0</v>
      </c>
      <c r="N38" s="334"/>
      <c r="O38" s="137"/>
    </row>
    <row r="39" spans="1:15" x14ac:dyDescent="0.35">
      <c r="B39" s="138"/>
      <c r="C39" s="135"/>
      <c r="D39" s="135"/>
      <c r="E39" s="135"/>
      <c r="F39" s="135"/>
      <c r="G39" s="135"/>
      <c r="H39" s="135"/>
      <c r="I39" s="135"/>
      <c r="J39" s="135"/>
      <c r="K39" s="137"/>
      <c r="L39" s="137"/>
      <c r="M39" s="137"/>
      <c r="N39" s="137"/>
      <c r="O39" s="137"/>
    </row>
    <row r="40" spans="1:15" x14ac:dyDescent="0.35">
      <c r="B40" s="138"/>
      <c r="C40" s="135"/>
      <c r="D40" s="135"/>
      <c r="E40" s="135"/>
      <c r="F40" s="135"/>
      <c r="G40" s="135"/>
      <c r="H40" s="135"/>
      <c r="I40" s="135"/>
      <c r="J40" s="135"/>
      <c r="K40" s="137"/>
      <c r="L40" s="137"/>
      <c r="M40" s="137"/>
      <c r="N40" s="137"/>
      <c r="O40" s="137"/>
    </row>
    <row r="41" spans="1:15" ht="47.25" customHeight="1" x14ac:dyDescent="0.35">
      <c r="A41" t="s">
        <v>191</v>
      </c>
      <c r="B41" s="337" t="s">
        <v>192</v>
      </c>
      <c r="C41" s="337"/>
      <c r="D41" s="337"/>
      <c r="E41" s="337"/>
      <c r="F41" s="337"/>
      <c r="G41" s="340" t="s">
        <v>193</v>
      </c>
      <c r="H41" s="340"/>
      <c r="I41" s="135"/>
      <c r="J41" s="135"/>
      <c r="K41" s="137"/>
      <c r="L41" s="137"/>
    </row>
    <row r="42" spans="1:15" x14ac:dyDescent="0.35">
      <c r="B42" s="333">
        <f>+INPUT!B33</f>
        <v>0</v>
      </c>
      <c r="C42" s="333"/>
      <c r="D42" s="333"/>
      <c r="E42" s="333"/>
      <c r="F42" s="333"/>
      <c r="G42" s="334">
        <f t="shared" ref="G42:G48" si="1">+SUMPRODUCT(utentiAttualiDettaglio*(strutturePACdettaglio=B42))</f>
        <v>0</v>
      </c>
      <c r="H42" s="334"/>
      <c r="I42" s="135"/>
      <c r="J42" s="135"/>
      <c r="K42" s="137"/>
      <c r="L42" s="137"/>
    </row>
    <row r="43" spans="1:15" x14ac:dyDescent="0.35">
      <c r="B43" s="333">
        <f>+INPUT!B34</f>
        <v>0</v>
      </c>
      <c r="C43" s="333"/>
      <c r="D43" s="333"/>
      <c r="E43" s="333"/>
      <c r="F43" s="333"/>
      <c r="G43" s="334">
        <f t="shared" si="1"/>
        <v>0</v>
      </c>
      <c r="H43" s="334"/>
      <c r="I43" s="135"/>
      <c r="J43" s="135"/>
      <c r="K43" s="137"/>
      <c r="L43" s="137"/>
    </row>
    <row r="44" spans="1:15" x14ac:dyDescent="0.35">
      <c r="B44" s="333" t="str">
        <f>+INPUT!B35</f>
        <v>Erchie</v>
      </c>
      <c r="C44" s="333"/>
      <c r="D44" s="333"/>
      <c r="E44" s="333"/>
      <c r="F44" s="333"/>
      <c r="G44" s="334">
        <f t="shared" si="1"/>
        <v>0</v>
      </c>
      <c r="H44" s="334"/>
      <c r="I44" s="135"/>
      <c r="J44" s="135"/>
      <c r="K44" s="137"/>
      <c r="L44" s="137"/>
    </row>
    <row r="45" spans="1:15" x14ac:dyDescent="0.35">
      <c r="B45" s="333" t="str">
        <f>+INPUT!B36</f>
        <v>San Pietro Vernotico</v>
      </c>
      <c r="C45" s="333"/>
      <c r="D45" s="333"/>
      <c r="E45" s="333"/>
      <c r="F45" s="333"/>
      <c r="G45" s="334">
        <f t="shared" si="1"/>
        <v>0</v>
      </c>
      <c r="H45" s="334"/>
      <c r="I45" s="135"/>
      <c r="J45" s="135"/>
      <c r="K45" s="137"/>
      <c r="L45" s="137"/>
    </row>
    <row r="46" spans="1:15" x14ac:dyDescent="0.35">
      <c r="B46" s="333">
        <f>+INPUT!B37</f>
        <v>0</v>
      </c>
      <c r="C46" s="333"/>
      <c r="D46" s="333"/>
      <c r="E46" s="333"/>
      <c r="F46" s="333"/>
      <c r="G46" s="334">
        <f t="shared" si="1"/>
        <v>0</v>
      </c>
      <c r="H46" s="334"/>
      <c r="I46" s="135"/>
      <c r="J46" s="135"/>
      <c r="K46" s="137"/>
      <c r="L46" s="137"/>
    </row>
    <row r="47" spans="1:15" x14ac:dyDescent="0.35">
      <c r="B47" s="333">
        <f>+INPUT!B38</f>
        <v>0</v>
      </c>
      <c r="C47" s="333"/>
      <c r="D47" s="333"/>
      <c r="E47" s="333"/>
      <c r="F47" s="333"/>
      <c r="G47" s="334">
        <f t="shared" si="1"/>
        <v>0</v>
      </c>
      <c r="H47" s="334"/>
      <c r="I47" s="135"/>
      <c r="J47" s="135"/>
      <c r="K47" s="137"/>
      <c r="L47" s="137"/>
    </row>
    <row r="48" spans="1:15" x14ac:dyDescent="0.35">
      <c r="B48" s="333">
        <f>+INPUT!B39</f>
        <v>0</v>
      </c>
      <c r="C48" s="333"/>
      <c r="D48" s="333"/>
      <c r="E48" s="333"/>
      <c r="F48" s="333"/>
      <c r="G48" s="334">
        <f t="shared" si="1"/>
        <v>0</v>
      </c>
      <c r="H48" s="334"/>
      <c r="I48" s="135"/>
      <c r="J48" s="135"/>
      <c r="K48" s="137"/>
      <c r="L48" s="137"/>
    </row>
    <row r="49" spans="2:46" x14ac:dyDescent="0.35">
      <c r="B49" s="138"/>
      <c r="C49" s="135"/>
      <c r="D49" s="135"/>
      <c r="E49" s="135"/>
      <c r="F49" s="135"/>
      <c r="G49" s="135"/>
      <c r="H49" s="135"/>
      <c r="I49" s="135"/>
      <c r="J49" s="135"/>
      <c r="K49" s="137"/>
      <c r="L49" s="137"/>
      <c r="M49" s="137"/>
      <c r="N49" s="137"/>
      <c r="O49" s="137"/>
    </row>
    <row r="50" spans="2:46" x14ac:dyDescent="0.35">
      <c r="B50" s="138"/>
      <c r="C50" s="135"/>
      <c r="D50" s="135"/>
      <c r="E50" s="135"/>
      <c r="F50" s="135"/>
      <c r="G50" s="336" t="s">
        <v>194</v>
      </c>
      <c r="H50" s="336"/>
      <c r="I50" s="336"/>
      <c r="J50" s="336"/>
      <c r="K50" s="336"/>
      <c r="L50" s="336"/>
      <c r="M50" s="137"/>
      <c r="N50" s="139" t="s">
        <v>195</v>
      </c>
      <c r="O50" s="140"/>
      <c r="Q50" s="139" t="s">
        <v>196</v>
      </c>
      <c r="R50" s="140"/>
      <c r="AQ50" s="141"/>
      <c r="AR50" s="141"/>
      <c r="AS50" s="141"/>
      <c r="AT50" s="141"/>
    </row>
    <row r="51" spans="2:46" ht="15" customHeight="1" x14ac:dyDescent="0.35">
      <c r="B51" s="337" t="s">
        <v>192</v>
      </c>
      <c r="C51" s="337"/>
      <c r="D51" s="337"/>
      <c r="E51" s="337"/>
      <c r="F51" s="337"/>
      <c r="G51" s="338" t="s">
        <v>197</v>
      </c>
      <c r="H51" s="338"/>
      <c r="I51" s="338" t="s">
        <v>67</v>
      </c>
      <c r="J51" s="338"/>
      <c r="K51" s="338" t="s">
        <v>189</v>
      </c>
      <c r="L51" s="338"/>
      <c r="M51" s="133" t="s">
        <v>179</v>
      </c>
      <c r="N51" s="327" t="s">
        <v>198</v>
      </c>
      <c r="O51" s="327"/>
      <c r="Q51" s="327" t="s">
        <v>198</v>
      </c>
      <c r="R51" s="327"/>
      <c r="AQ51" s="141"/>
      <c r="AR51" s="141"/>
      <c r="AS51" s="141"/>
      <c r="AT51" s="141"/>
    </row>
    <row r="52" spans="2:46" x14ac:dyDescent="0.35">
      <c r="B52" s="333">
        <f t="shared" ref="B52:B58" si="2">+B42</f>
        <v>0</v>
      </c>
      <c r="C52" s="333"/>
      <c r="D52" s="333"/>
      <c r="E52" s="333"/>
      <c r="F52" s="333"/>
      <c r="G52" s="334">
        <f t="shared" ref="G52:G58" si="3">+SUMPRODUCT(utentiPacDettaglio*(struttureInterventiPacDettaglio=$B42)*(tipologiaInterventoPacDettaglio=B$38))</f>
        <v>0</v>
      </c>
      <c r="H52" s="334"/>
      <c r="I52" s="334">
        <f t="shared" ref="I52:I58" si="4">+SUMPRODUCT(oreServizioPacDettaglio*(struttureInterventiPacDettaglio=$B42)*(tipologiaInterventoPacDettaglio=B$38))</f>
        <v>0</v>
      </c>
      <c r="J52" s="334"/>
      <c r="K52" s="334">
        <f t="shared" ref="K52:K58" si="5">+SUMPRODUCT(mensilitàPacDettaglio*(struttureInterventiPacDettaglio=$B42)*(tipologiaInterventoPacDettaglio=B$38))</f>
        <v>0</v>
      </c>
      <c r="L52" s="334"/>
      <c r="N52" s="334">
        <f t="shared" ref="N52:N58" si="6">+SUMPRODUCT(mensilitàPacDettaglio2021*(struttureInterventiPacDettaglio=$B42)*(tipologiaInterventoPacDettaglio=B$38))</f>
        <v>0</v>
      </c>
      <c r="O52" s="334"/>
      <c r="Q52" s="335">
        <f t="shared" ref="Q52:Q58" si="7">+SUMPRODUCT(risorseNettePacDettaglio2021*(struttureInterventiPacDettaglio=$B42)*(tipologiaInterventoPacDettaglio=B$38))</f>
        <v>0</v>
      </c>
      <c r="R52" s="335"/>
      <c r="AQ52" s="142"/>
      <c r="AR52" s="142"/>
      <c r="AS52" s="142"/>
      <c r="AT52" s="142"/>
    </row>
    <row r="53" spans="2:46" x14ac:dyDescent="0.35">
      <c r="B53" s="333">
        <f t="shared" si="2"/>
        <v>0</v>
      </c>
      <c r="C53" s="333"/>
      <c r="D53" s="333"/>
      <c r="E53" s="333"/>
      <c r="F53" s="333"/>
      <c r="G53" s="334">
        <f t="shared" si="3"/>
        <v>0</v>
      </c>
      <c r="H53" s="334"/>
      <c r="I53" s="334">
        <f t="shared" si="4"/>
        <v>0</v>
      </c>
      <c r="J53" s="334"/>
      <c r="K53" s="334">
        <f t="shared" si="5"/>
        <v>0</v>
      </c>
      <c r="L53" s="334"/>
      <c r="N53" s="334">
        <f t="shared" si="6"/>
        <v>0</v>
      </c>
      <c r="O53" s="334"/>
      <c r="Q53" s="335">
        <f t="shared" si="7"/>
        <v>0</v>
      </c>
      <c r="R53" s="335"/>
      <c r="AQ53" s="142"/>
      <c r="AR53" s="142"/>
      <c r="AS53" s="142"/>
      <c r="AT53" s="142"/>
    </row>
    <row r="54" spans="2:46" x14ac:dyDescent="0.35">
      <c r="B54" s="333" t="str">
        <f t="shared" si="2"/>
        <v>Erchie</v>
      </c>
      <c r="C54" s="333"/>
      <c r="D54" s="333"/>
      <c r="E54" s="333"/>
      <c r="F54" s="333"/>
      <c r="G54" s="334">
        <f t="shared" si="3"/>
        <v>0</v>
      </c>
      <c r="H54" s="334"/>
      <c r="I54" s="334">
        <f t="shared" si="4"/>
        <v>0</v>
      </c>
      <c r="J54" s="334"/>
      <c r="K54" s="334">
        <f t="shared" si="5"/>
        <v>0</v>
      </c>
      <c r="L54" s="334"/>
      <c r="N54" s="334">
        <f t="shared" si="6"/>
        <v>0</v>
      </c>
      <c r="O54" s="334"/>
      <c r="Q54" s="335">
        <f t="shared" si="7"/>
        <v>0</v>
      </c>
      <c r="R54" s="335"/>
      <c r="AQ54" s="142"/>
      <c r="AR54" s="142"/>
      <c r="AS54" s="142"/>
      <c r="AT54" s="142"/>
    </row>
    <row r="55" spans="2:46" x14ac:dyDescent="0.35">
      <c r="B55" s="333" t="str">
        <f t="shared" si="2"/>
        <v>San Pietro Vernotico</v>
      </c>
      <c r="C55" s="333"/>
      <c r="D55" s="333"/>
      <c r="E55" s="333"/>
      <c r="F55" s="333"/>
      <c r="G55" s="334">
        <f t="shared" si="3"/>
        <v>0</v>
      </c>
      <c r="H55" s="334"/>
      <c r="I55" s="334">
        <f t="shared" si="4"/>
        <v>0</v>
      </c>
      <c r="J55" s="334"/>
      <c r="K55" s="334">
        <f t="shared" si="5"/>
        <v>0</v>
      </c>
      <c r="L55" s="334"/>
      <c r="N55" s="334">
        <f t="shared" si="6"/>
        <v>0</v>
      </c>
      <c r="O55" s="334"/>
      <c r="Q55" s="335">
        <f t="shared" si="7"/>
        <v>0</v>
      </c>
      <c r="R55" s="335"/>
      <c r="AQ55" s="142"/>
      <c r="AR55" s="142"/>
      <c r="AS55" s="142"/>
      <c r="AT55" s="142"/>
    </row>
    <row r="56" spans="2:46" x14ac:dyDescent="0.35">
      <c r="B56" s="333">
        <f t="shared" si="2"/>
        <v>0</v>
      </c>
      <c r="C56" s="333"/>
      <c r="D56" s="333"/>
      <c r="E56" s="333"/>
      <c r="F56" s="333"/>
      <c r="G56" s="334">
        <f t="shared" si="3"/>
        <v>0</v>
      </c>
      <c r="H56" s="334"/>
      <c r="I56" s="334">
        <f t="shared" si="4"/>
        <v>0</v>
      </c>
      <c r="J56" s="334"/>
      <c r="K56" s="334">
        <f t="shared" si="5"/>
        <v>0</v>
      </c>
      <c r="L56" s="334"/>
      <c r="N56" s="334">
        <f t="shared" si="6"/>
        <v>0</v>
      </c>
      <c r="O56" s="334"/>
      <c r="Q56" s="335">
        <f t="shared" si="7"/>
        <v>0</v>
      </c>
      <c r="R56" s="335"/>
      <c r="AQ56" s="142"/>
      <c r="AR56" s="142"/>
      <c r="AS56" s="142"/>
      <c r="AT56" s="142"/>
    </row>
    <row r="57" spans="2:46" x14ac:dyDescent="0.35">
      <c r="B57" s="333">
        <f t="shared" si="2"/>
        <v>0</v>
      </c>
      <c r="C57" s="333"/>
      <c r="D57" s="333"/>
      <c r="E57" s="333"/>
      <c r="F57" s="333"/>
      <c r="G57" s="334">
        <f t="shared" si="3"/>
        <v>0</v>
      </c>
      <c r="H57" s="334"/>
      <c r="I57" s="334">
        <f t="shared" si="4"/>
        <v>0</v>
      </c>
      <c r="J57" s="334"/>
      <c r="K57" s="334">
        <f t="shared" si="5"/>
        <v>0</v>
      </c>
      <c r="L57" s="334"/>
      <c r="N57" s="334">
        <f t="shared" si="6"/>
        <v>0</v>
      </c>
      <c r="O57" s="334"/>
      <c r="Q57" s="335">
        <f t="shared" si="7"/>
        <v>0</v>
      </c>
      <c r="R57" s="335"/>
      <c r="AQ57" s="142"/>
      <c r="AR57" s="142"/>
      <c r="AS57" s="142"/>
      <c r="AT57" s="142"/>
    </row>
    <row r="58" spans="2:46" x14ac:dyDescent="0.35">
      <c r="B58" s="333">
        <f t="shared" si="2"/>
        <v>0</v>
      </c>
      <c r="C58" s="333"/>
      <c r="D58" s="333"/>
      <c r="E58" s="333"/>
      <c r="F58" s="333"/>
      <c r="G58" s="334">
        <f t="shared" si="3"/>
        <v>0</v>
      </c>
      <c r="H58" s="334"/>
      <c r="I58" s="334">
        <f t="shared" si="4"/>
        <v>0</v>
      </c>
      <c r="J58" s="334"/>
      <c r="K58" s="334">
        <f t="shared" si="5"/>
        <v>0</v>
      </c>
      <c r="L58" s="334"/>
      <c r="N58" s="334">
        <f t="shared" si="6"/>
        <v>0</v>
      </c>
      <c r="O58" s="334"/>
      <c r="Q58" s="335">
        <f t="shared" si="7"/>
        <v>0</v>
      </c>
      <c r="R58" s="335"/>
      <c r="AQ58" s="142"/>
      <c r="AR58" s="142"/>
      <c r="AS58" s="142"/>
      <c r="AT58" s="142"/>
    </row>
    <row r="59" spans="2:46" x14ac:dyDescent="0.35">
      <c r="B59" s="326" t="s">
        <v>51</v>
      </c>
      <c r="C59" s="326"/>
      <c r="D59" s="326"/>
      <c r="E59" s="326"/>
      <c r="F59" s="326"/>
      <c r="G59" s="327">
        <f>+SUM(G52:H58)</f>
        <v>0</v>
      </c>
      <c r="H59" s="327"/>
      <c r="I59" s="327">
        <f>+SUM(I52:J58)</f>
        <v>0</v>
      </c>
      <c r="J59" s="327"/>
      <c r="K59" s="327">
        <f>+SUM(K52:L58)</f>
        <v>0</v>
      </c>
      <c r="L59" s="327"/>
      <c r="M59" s="143"/>
      <c r="N59" s="327">
        <f>+SUM(N52:O58)</f>
        <v>0</v>
      </c>
      <c r="O59" s="327"/>
      <c r="Q59" s="328">
        <f>+SUM(Q52:R58)</f>
        <v>0</v>
      </c>
      <c r="R59" s="328"/>
      <c r="AB59" s="144"/>
      <c r="AQ59" s="145"/>
      <c r="AR59" s="145"/>
      <c r="AS59" s="145"/>
      <c r="AT59" s="145"/>
    </row>
    <row r="60" spans="2:46" x14ac:dyDescent="0.35">
      <c r="B60" s="138"/>
      <c r="C60" s="135"/>
      <c r="D60" s="135"/>
      <c r="E60" s="135"/>
      <c r="F60" s="135"/>
      <c r="G60" s="135"/>
      <c r="H60" s="135"/>
      <c r="I60" s="135"/>
      <c r="J60" s="135"/>
      <c r="K60" s="137"/>
      <c r="L60" s="137"/>
      <c r="M60" s="137"/>
      <c r="N60" s="137"/>
      <c r="O60" s="137"/>
    </row>
    <row r="61" spans="2:46" x14ac:dyDescent="0.35">
      <c r="B61" s="138"/>
      <c r="C61" s="135"/>
      <c r="D61" s="135"/>
      <c r="E61" s="135"/>
      <c r="F61" s="135"/>
      <c r="G61" s="336" t="s">
        <v>199</v>
      </c>
      <c r="H61" s="336"/>
      <c r="I61" s="336"/>
      <c r="J61" s="336"/>
      <c r="K61" s="336"/>
      <c r="L61" s="336"/>
      <c r="M61" s="137"/>
      <c r="N61" s="139" t="s">
        <v>195</v>
      </c>
      <c r="O61" s="140"/>
      <c r="Q61" s="139" t="s">
        <v>196</v>
      </c>
      <c r="R61" s="140"/>
      <c r="AQ61" s="141"/>
      <c r="AR61" s="141"/>
      <c r="AS61" s="141"/>
      <c r="AT61" s="141"/>
    </row>
    <row r="62" spans="2:46" ht="15" customHeight="1" x14ac:dyDescent="0.35">
      <c r="B62" s="337" t="s">
        <v>192</v>
      </c>
      <c r="C62" s="337"/>
      <c r="D62" s="337"/>
      <c r="E62" s="337"/>
      <c r="F62" s="337"/>
      <c r="G62" s="338" t="s">
        <v>197</v>
      </c>
      <c r="H62" s="338"/>
      <c r="I62" s="338" t="s">
        <v>67</v>
      </c>
      <c r="J62" s="338"/>
      <c r="K62" s="338" t="s">
        <v>189</v>
      </c>
      <c r="L62" s="338"/>
      <c r="M62" s="133" t="s">
        <v>179</v>
      </c>
      <c r="N62" s="327" t="s">
        <v>198</v>
      </c>
      <c r="O62" s="327"/>
      <c r="Q62" s="327" t="s">
        <v>198</v>
      </c>
      <c r="R62" s="327"/>
      <c r="AQ62" s="141"/>
      <c r="AR62" s="141"/>
      <c r="AS62" s="141"/>
      <c r="AT62" s="141"/>
    </row>
    <row r="63" spans="2:46" x14ac:dyDescent="0.35">
      <c r="B63" s="333">
        <f t="shared" ref="B63:B69" si="8">+B52</f>
        <v>0</v>
      </c>
      <c r="C63" s="333"/>
      <c r="D63" s="333"/>
      <c r="E63" s="333"/>
      <c r="F63" s="333"/>
      <c r="G63" s="334">
        <f t="shared" ref="G63:G69" si="9">+SUMPRODUCT(utentiPacDettaglio*(struttureInterventiPacDettaglio=$B42)*(tipologiaInterventoPacDettaglio=B$35))</f>
        <v>0</v>
      </c>
      <c r="H63" s="334"/>
      <c r="I63" s="334">
        <f t="shared" ref="I63:I69" si="10">+SUMPRODUCT(oreServizioPacDettaglio*(struttureInterventiPacDettaglio=$B42)*(tipologiaInterventoPacDettaglio=B$35))</f>
        <v>0</v>
      </c>
      <c r="J63" s="334"/>
      <c r="K63" s="334">
        <f t="shared" ref="K63:K69" si="11">+SUMPRODUCT(mensilitàPacDettaglio*(struttureInterventiPacDettaglio=$B42)*(tipologiaInterventoPacDettaglio=B$35))</f>
        <v>0</v>
      </c>
      <c r="L63" s="334"/>
      <c r="M63" s="137"/>
      <c r="N63" s="334">
        <f t="shared" ref="N63:N69" si="12">+SUMPRODUCT(mensilitàPacDettaglio2021*(struttureInterventiPacDettaglio=$B42)*(tipologiaInterventoPacDettaglio=B$35))</f>
        <v>0</v>
      </c>
      <c r="O63" s="334"/>
      <c r="Q63" s="335">
        <f t="shared" ref="Q63:Q69" si="13">+SUMPRODUCT(risorseNettePacDettaglio2021*(struttureInterventiPacDettaglio=$B42)*(tipologiaInterventoPacDettaglio=B$35))</f>
        <v>0</v>
      </c>
      <c r="R63" s="335"/>
      <c r="AQ63" s="142"/>
      <c r="AR63" s="142"/>
      <c r="AS63" s="142"/>
      <c r="AT63" s="142"/>
    </row>
    <row r="64" spans="2:46" x14ac:dyDescent="0.35">
      <c r="B64" s="333">
        <f t="shared" si="8"/>
        <v>0</v>
      </c>
      <c r="C64" s="333"/>
      <c r="D64" s="333"/>
      <c r="E64" s="333"/>
      <c r="F64" s="333"/>
      <c r="G64" s="334">
        <f t="shared" si="9"/>
        <v>0</v>
      </c>
      <c r="H64" s="334"/>
      <c r="I64" s="334">
        <f t="shared" si="10"/>
        <v>0</v>
      </c>
      <c r="J64" s="334"/>
      <c r="K64" s="334">
        <f t="shared" si="11"/>
        <v>0</v>
      </c>
      <c r="L64" s="334"/>
      <c r="M64" s="137"/>
      <c r="N64" s="334">
        <f t="shared" si="12"/>
        <v>0</v>
      </c>
      <c r="O64" s="334"/>
      <c r="Q64" s="335">
        <f t="shared" si="13"/>
        <v>0</v>
      </c>
      <c r="R64" s="335"/>
      <c r="AQ64" s="142"/>
      <c r="AR64" s="142"/>
      <c r="AS64" s="142"/>
      <c r="AT64" s="142"/>
    </row>
    <row r="65" spans="2:46" x14ac:dyDescent="0.35">
      <c r="B65" s="333" t="str">
        <f t="shared" si="8"/>
        <v>Erchie</v>
      </c>
      <c r="C65" s="333"/>
      <c r="D65" s="333"/>
      <c r="E65" s="333"/>
      <c r="F65" s="333"/>
      <c r="G65" s="334">
        <f t="shared" si="9"/>
        <v>10</v>
      </c>
      <c r="H65" s="334"/>
      <c r="I65" s="334">
        <f t="shared" si="10"/>
        <v>1154.7445</v>
      </c>
      <c r="J65" s="334"/>
      <c r="K65" s="334">
        <f t="shared" si="11"/>
        <v>6.5</v>
      </c>
      <c r="L65" s="334"/>
      <c r="M65" s="137"/>
      <c r="N65" s="334">
        <f t="shared" si="12"/>
        <v>6.5</v>
      </c>
      <c r="O65" s="334"/>
      <c r="Q65" s="335">
        <f t="shared" si="13"/>
        <v>60006.764338357199</v>
      </c>
      <c r="R65" s="335"/>
      <c r="AQ65" s="142"/>
      <c r="AR65" s="142"/>
      <c r="AS65" s="142"/>
      <c r="AT65" s="142"/>
    </row>
    <row r="66" spans="2:46" x14ac:dyDescent="0.35">
      <c r="B66" s="333" t="str">
        <f t="shared" si="8"/>
        <v>San Pietro Vernotico</v>
      </c>
      <c r="C66" s="333"/>
      <c r="D66" s="333"/>
      <c r="E66" s="333"/>
      <c r="F66" s="333"/>
      <c r="G66" s="334">
        <f t="shared" si="9"/>
        <v>10</v>
      </c>
      <c r="H66" s="334"/>
      <c r="I66" s="334">
        <f t="shared" si="10"/>
        <v>1154.7445</v>
      </c>
      <c r="J66" s="334"/>
      <c r="K66" s="334">
        <f t="shared" si="11"/>
        <v>6.5</v>
      </c>
      <c r="L66" s="334"/>
      <c r="M66" s="137"/>
      <c r="N66" s="334">
        <f t="shared" si="12"/>
        <v>6.5</v>
      </c>
      <c r="O66" s="334"/>
      <c r="Q66" s="335">
        <f t="shared" si="13"/>
        <v>60006.764338357199</v>
      </c>
      <c r="R66" s="335"/>
      <c r="AQ66" s="142"/>
      <c r="AR66" s="142"/>
      <c r="AS66" s="142"/>
      <c r="AT66" s="142"/>
    </row>
    <row r="67" spans="2:46" x14ac:dyDescent="0.35">
      <c r="B67" s="333">
        <f t="shared" si="8"/>
        <v>0</v>
      </c>
      <c r="C67" s="333"/>
      <c r="D67" s="333"/>
      <c r="E67" s="333"/>
      <c r="F67" s="333"/>
      <c r="G67" s="334">
        <f t="shared" si="9"/>
        <v>0</v>
      </c>
      <c r="H67" s="334"/>
      <c r="I67" s="334">
        <f t="shared" si="10"/>
        <v>0</v>
      </c>
      <c r="J67" s="334"/>
      <c r="K67" s="334">
        <f t="shared" si="11"/>
        <v>0</v>
      </c>
      <c r="L67" s="334"/>
      <c r="M67" s="137"/>
      <c r="N67" s="334">
        <f t="shared" si="12"/>
        <v>0</v>
      </c>
      <c r="O67" s="334"/>
      <c r="Q67" s="335">
        <f t="shared" si="13"/>
        <v>0</v>
      </c>
      <c r="R67" s="335"/>
      <c r="AQ67" s="142"/>
      <c r="AR67" s="142"/>
      <c r="AS67" s="142"/>
      <c r="AT67" s="142"/>
    </row>
    <row r="68" spans="2:46" x14ac:dyDescent="0.35">
      <c r="B68" s="333">
        <f t="shared" si="8"/>
        <v>0</v>
      </c>
      <c r="C68" s="333"/>
      <c r="D68" s="333"/>
      <c r="E68" s="333"/>
      <c r="F68" s="333"/>
      <c r="G68" s="334">
        <f t="shared" si="9"/>
        <v>0</v>
      </c>
      <c r="H68" s="334"/>
      <c r="I68" s="334">
        <f t="shared" si="10"/>
        <v>0</v>
      </c>
      <c r="J68" s="334"/>
      <c r="K68" s="334">
        <f t="shared" si="11"/>
        <v>0</v>
      </c>
      <c r="L68" s="334"/>
      <c r="M68" s="137"/>
      <c r="N68" s="334">
        <f t="shared" si="12"/>
        <v>0</v>
      </c>
      <c r="O68" s="334"/>
      <c r="Q68" s="335">
        <f t="shared" si="13"/>
        <v>0</v>
      </c>
      <c r="R68" s="335"/>
      <c r="AQ68" s="142"/>
      <c r="AR68" s="142"/>
      <c r="AS68" s="142"/>
      <c r="AT68" s="142"/>
    </row>
    <row r="69" spans="2:46" x14ac:dyDescent="0.35">
      <c r="B69" s="333">
        <f t="shared" si="8"/>
        <v>0</v>
      </c>
      <c r="C69" s="333"/>
      <c r="D69" s="333"/>
      <c r="E69" s="333"/>
      <c r="F69" s="333"/>
      <c r="G69" s="334">
        <f t="shared" si="9"/>
        <v>0</v>
      </c>
      <c r="H69" s="334"/>
      <c r="I69" s="334">
        <f t="shared" si="10"/>
        <v>0</v>
      </c>
      <c r="J69" s="334"/>
      <c r="K69" s="334">
        <f t="shared" si="11"/>
        <v>0</v>
      </c>
      <c r="L69" s="334"/>
      <c r="M69" s="137"/>
      <c r="N69" s="334">
        <f t="shared" si="12"/>
        <v>0</v>
      </c>
      <c r="O69" s="334"/>
      <c r="Q69" s="335">
        <f t="shared" si="13"/>
        <v>0</v>
      </c>
      <c r="R69" s="335"/>
      <c r="AQ69" s="142"/>
      <c r="AR69" s="142"/>
      <c r="AS69" s="142"/>
      <c r="AT69" s="142"/>
    </row>
    <row r="70" spans="2:46" x14ac:dyDescent="0.35">
      <c r="B70" s="326" t="s">
        <v>51</v>
      </c>
      <c r="C70" s="326"/>
      <c r="D70" s="326"/>
      <c r="E70" s="326"/>
      <c r="F70" s="326"/>
      <c r="G70" s="327">
        <f>+SUM(G63:H69)</f>
        <v>20</v>
      </c>
      <c r="H70" s="327"/>
      <c r="I70" s="327">
        <f>+SUM(I63:J69)</f>
        <v>2309.489</v>
      </c>
      <c r="J70" s="327"/>
      <c r="K70" s="327">
        <f>+SUM(K63:L69)</f>
        <v>13</v>
      </c>
      <c r="L70" s="327"/>
      <c r="M70" s="143"/>
      <c r="N70" s="327">
        <f>+SUM(N63:O69)</f>
        <v>13</v>
      </c>
      <c r="O70" s="327"/>
      <c r="Q70" s="328">
        <f>+SUM(Q63:R69)</f>
        <v>120013.5286767144</v>
      </c>
      <c r="R70" s="328"/>
      <c r="AB70" s="144"/>
      <c r="AQ70" s="145"/>
      <c r="AR70" s="145"/>
      <c r="AS70" s="145"/>
      <c r="AT70" s="145"/>
    </row>
    <row r="71" spans="2:46" x14ac:dyDescent="0.35">
      <c r="B71" s="138"/>
      <c r="C71" s="135"/>
      <c r="D71" s="135"/>
      <c r="E71" s="135"/>
      <c r="F71" s="135"/>
      <c r="G71" s="135"/>
      <c r="H71" s="135"/>
      <c r="I71" s="135"/>
      <c r="J71" s="135"/>
      <c r="K71" s="137"/>
      <c r="L71" s="137"/>
      <c r="M71" s="137"/>
      <c r="N71" s="137"/>
      <c r="O71" s="137"/>
    </row>
    <row r="72" spans="2:46" x14ac:dyDescent="0.35">
      <c r="B72" s="138"/>
      <c r="C72" s="135"/>
      <c r="D72" s="135"/>
      <c r="E72" s="135"/>
      <c r="F72" s="135"/>
      <c r="G72" s="336" t="s">
        <v>200</v>
      </c>
      <c r="H72" s="336"/>
      <c r="I72" s="336"/>
      <c r="J72" s="336"/>
      <c r="K72" s="336"/>
      <c r="L72" s="336"/>
      <c r="M72" s="137"/>
      <c r="N72" s="139" t="s">
        <v>195</v>
      </c>
      <c r="O72" s="140"/>
      <c r="Q72" s="139" t="s">
        <v>196</v>
      </c>
      <c r="R72" s="140"/>
      <c r="AQ72" s="141"/>
      <c r="AR72" s="141"/>
      <c r="AS72" s="141"/>
      <c r="AT72" s="141"/>
    </row>
    <row r="73" spans="2:46" ht="15" customHeight="1" x14ac:dyDescent="0.35">
      <c r="B73" s="337" t="s">
        <v>192</v>
      </c>
      <c r="C73" s="337"/>
      <c r="D73" s="337"/>
      <c r="E73" s="337"/>
      <c r="F73" s="337"/>
      <c r="G73" s="338" t="s">
        <v>197</v>
      </c>
      <c r="H73" s="338"/>
      <c r="I73" s="338" t="s">
        <v>67</v>
      </c>
      <c r="J73" s="338"/>
      <c r="K73" s="338" t="s">
        <v>189</v>
      </c>
      <c r="L73" s="338"/>
      <c r="M73" s="133" t="s">
        <v>179</v>
      </c>
      <c r="N73" s="327" t="s">
        <v>198</v>
      </c>
      <c r="O73" s="327"/>
      <c r="Q73" s="327" t="s">
        <v>198</v>
      </c>
      <c r="R73" s="327"/>
      <c r="AQ73" s="141"/>
      <c r="AR73" s="141"/>
      <c r="AS73" s="141"/>
      <c r="AT73" s="141"/>
    </row>
    <row r="74" spans="2:46" x14ac:dyDescent="0.35">
      <c r="B74" s="333">
        <f t="shared" ref="B74:B80" si="14">+B63</f>
        <v>0</v>
      </c>
      <c r="C74" s="333"/>
      <c r="D74" s="333"/>
      <c r="E74" s="333"/>
      <c r="F74" s="333"/>
      <c r="G74" s="334">
        <f t="shared" ref="G74:G80" si="15">+SUMPRODUCT(utentiPacDettaglio*(struttureInterventiPacDettaglio=$B42)*(tipologiaInterventoPacDettaglio=B$36))</f>
        <v>0</v>
      </c>
      <c r="H74" s="334"/>
      <c r="I74" s="334">
        <f t="shared" ref="I74:I80" si="16">+SUMPRODUCT(oreServizioPacDettaglio*(struttureInterventiPacDettaglio=$B42)*(tipologiaInterventoPacDettaglio=B$36))</f>
        <v>0</v>
      </c>
      <c r="J74" s="334"/>
      <c r="K74" s="334">
        <f t="shared" ref="K74:K80" si="17">+SUMPRODUCT(mensilitàPacDettaglio*(struttureInterventiPacDettaglio=$B42)*(tipologiaInterventoPacDettaglio=B$36))</f>
        <v>0</v>
      </c>
      <c r="L74" s="334"/>
      <c r="M74" s="137"/>
      <c r="N74" s="334">
        <f t="shared" ref="N74:N80" si="18">+SUMPRODUCT(mensilitàPacDettaglio2021*(struttureInterventiPacDettaglio=$B42)*(tipologiaInterventoPacDettaglio=B$36))</f>
        <v>0</v>
      </c>
      <c r="O74" s="334"/>
      <c r="Q74" s="335">
        <f t="shared" ref="Q74:Q80" si="19">+SUMPRODUCT(risorseNettePacDettaglio2021*(struttureInterventiPacDettaglio=$B42)*(tipologiaInterventoPacDettaglio=B$36))</f>
        <v>0</v>
      </c>
      <c r="R74" s="335"/>
      <c r="AQ74" s="142"/>
      <c r="AR74" s="142"/>
      <c r="AS74" s="142"/>
      <c r="AT74" s="142"/>
    </row>
    <row r="75" spans="2:46" x14ac:dyDescent="0.35">
      <c r="B75" s="333">
        <f t="shared" si="14"/>
        <v>0</v>
      </c>
      <c r="C75" s="333"/>
      <c r="D75" s="333"/>
      <c r="E75" s="333"/>
      <c r="F75" s="333"/>
      <c r="G75" s="334">
        <f t="shared" si="15"/>
        <v>0</v>
      </c>
      <c r="H75" s="334"/>
      <c r="I75" s="334">
        <f t="shared" si="16"/>
        <v>0</v>
      </c>
      <c r="J75" s="334"/>
      <c r="K75" s="334">
        <f t="shared" si="17"/>
        <v>0</v>
      </c>
      <c r="L75" s="334"/>
      <c r="M75" s="137"/>
      <c r="N75" s="334">
        <f t="shared" si="18"/>
        <v>0</v>
      </c>
      <c r="O75" s="334"/>
      <c r="Q75" s="335">
        <f t="shared" si="19"/>
        <v>0</v>
      </c>
      <c r="R75" s="335"/>
      <c r="AQ75" s="142"/>
      <c r="AR75" s="142"/>
      <c r="AS75" s="142"/>
      <c r="AT75" s="142"/>
    </row>
    <row r="76" spans="2:46" x14ac:dyDescent="0.35">
      <c r="B76" s="333" t="str">
        <f t="shared" si="14"/>
        <v>Erchie</v>
      </c>
      <c r="C76" s="333"/>
      <c r="D76" s="333"/>
      <c r="E76" s="333"/>
      <c r="F76" s="333"/>
      <c r="G76" s="334">
        <f t="shared" si="15"/>
        <v>0</v>
      </c>
      <c r="H76" s="334"/>
      <c r="I76" s="334">
        <f t="shared" si="16"/>
        <v>0</v>
      </c>
      <c r="J76" s="334"/>
      <c r="K76" s="334">
        <f t="shared" si="17"/>
        <v>0</v>
      </c>
      <c r="L76" s="334"/>
      <c r="M76" s="137"/>
      <c r="N76" s="334">
        <f t="shared" si="18"/>
        <v>0</v>
      </c>
      <c r="O76" s="334"/>
      <c r="Q76" s="335">
        <f t="shared" si="19"/>
        <v>0</v>
      </c>
      <c r="R76" s="335"/>
      <c r="W76" s="146"/>
      <c r="X76" s="146"/>
      <c r="Y76" s="146"/>
      <c r="Z76" s="146"/>
      <c r="AA76" s="146"/>
      <c r="AQ76" s="142"/>
      <c r="AR76" s="142"/>
      <c r="AS76" s="142"/>
      <c r="AT76" s="142"/>
    </row>
    <row r="77" spans="2:46" x14ac:dyDescent="0.35">
      <c r="B77" s="333" t="str">
        <f t="shared" si="14"/>
        <v>San Pietro Vernotico</v>
      </c>
      <c r="C77" s="333"/>
      <c r="D77" s="333"/>
      <c r="E77" s="333"/>
      <c r="F77" s="333"/>
      <c r="G77" s="334">
        <f t="shared" si="15"/>
        <v>0</v>
      </c>
      <c r="H77" s="334"/>
      <c r="I77" s="334">
        <f t="shared" si="16"/>
        <v>0</v>
      </c>
      <c r="J77" s="334"/>
      <c r="K77" s="334">
        <f t="shared" si="17"/>
        <v>0</v>
      </c>
      <c r="L77" s="334"/>
      <c r="M77" s="137"/>
      <c r="N77" s="334">
        <f t="shared" si="18"/>
        <v>0</v>
      </c>
      <c r="O77" s="334"/>
      <c r="Q77" s="335">
        <f t="shared" si="19"/>
        <v>0</v>
      </c>
      <c r="R77" s="335"/>
      <c r="W77" s="146"/>
      <c r="X77" s="146"/>
      <c r="Y77" s="146"/>
      <c r="Z77" s="146"/>
      <c r="AA77" s="146"/>
      <c r="AQ77" s="142"/>
      <c r="AR77" s="142"/>
      <c r="AS77" s="142"/>
      <c r="AT77" s="142"/>
    </row>
    <row r="78" spans="2:46" x14ac:dyDescent="0.35">
      <c r="B78" s="333">
        <f t="shared" si="14"/>
        <v>0</v>
      </c>
      <c r="C78" s="333"/>
      <c r="D78" s="333"/>
      <c r="E78" s="333"/>
      <c r="F78" s="333"/>
      <c r="G78" s="334">
        <f t="shared" si="15"/>
        <v>0</v>
      </c>
      <c r="H78" s="334"/>
      <c r="I78" s="334">
        <f t="shared" si="16"/>
        <v>0</v>
      </c>
      <c r="J78" s="334"/>
      <c r="K78" s="334">
        <f t="shared" si="17"/>
        <v>0</v>
      </c>
      <c r="L78" s="334"/>
      <c r="M78" s="137"/>
      <c r="N78" s="334">
        <f t="shared" si="18"/>
        <v>0</v>
      </c>
      <c r="O78" s="334"/>
      <c r="Q78" s="335">
        <f t="shared" si="19"/>
        <v>0</v>
      </c>
      <c r="R78" s="335"/>
      <c r="W78" s="146"/>
      <c r="X78" s="146"/>
      <c r="Y78" s="146"/>
      <c r="Z78" s="146"/>
      <c r="AA78" s="146"/>
      <c r="AQ78" s="142"/>
      <c r="AR78" s="142"/>
      <c r="AS78" s="142"/>
      <c r="AT78" s="142"/>
    </row>
    <row r="79" spans="2:46" x14ac:dyDescent="0.35">
      <c r="B79" s="333">
        <f t="shared" si="14"/>
        <v>0</v>
      </c>
      <c r="C79" s="333"/>
      <c r="D79" s="333"/>
      <c r="E79" s="333"/>
      <c r="F79" s="333"/>
      <c r="G79" s="334">
        <f t="shared" si="15"/>
        <v>0</v>
      </c>
      <c r="H79" s="334"/>
      <c r="I79" s="334">
        <f t="shared" si="16"/>
        <v>0</v>
      </c>
      <c r="J79" s="334"/>
      <c r="K79" s="334">
        <f t="shared" si="17"/>
        <v>0</v>
      </c>
      <c r="L79" s="334"/>
      <c r="M79" s="137"/>
      <c r="N79" s="334">
        <f t="shared" si="18"/>
        <v>0</v>
      </c>
      <c r="O79" s="334"/>
      <c r="Q79" s="335">
        <f t="shared" si="19"/>
        <v>0</v>
      </c>
      <c r="R79" s="335"/>
      <c r="W79" s="146"/>
      <c r="X79" s="146"/>
      <c r="Y79" s="146"/>
      <c r="Z79" s="146"/>
      <c r="AA79" s="146"/>
      <c r="AQ79" s="142"/>
      <c r="AR79" s="142"/>
      <c r="AS79" s="142"/>
      <c r="AT79" s="142"/>
    </row>
    <row r="80" spans="2:46" x14ac:dyDescent="0.35">
      <c r="B80" s="333">
        <f t="shared" si="14"/>
        <v>0</v>
      </c>
      <c r="C80" s="333"/>
      <c r="D80" s="333"/>
      <c r="E80" s="333"/>
      <c r="F80" s="333"/>
      <c r="G80" s="334">
        <f t="shared" si="15"/>
        <v>0</v>
      </c>
      <c r="H80" s="334"/>
      <c r="I80" s="334">
        <f t="shared" si="16"/>
        <v>0</v>
      </c>
      <c r="J80" s="334"/>
      <c r="K80" s="334">
        <f t="shared" si="17"/>
        <v>0</v>
      </c>
      <c r="L80" s="334"/>
      <c r="M80" s="137"/>
      <c r="N80" s="334">
        <f t="shared" si="18"/>
        <v>0</v>
      </c>
      <c r="O80" s="334"/>
      <c r="Q80" s="335">
        <f t="shared" si="19"/>
        <v>0</v>
      </c>
      <c r="R80" s="335"/>
      <c r="W80" s="146"/>
      <c r="X80" s="146"/>
      <c r="Y80" s="146"/>
      <c r="Z80" s="146"/>
      <c r="AA80" s="146"/>
      <c r="AQ80" s="142"/>
      <c r="AR80" s="142"/>
      <c r="AS80" s="142"/>
      <c r="AT80" s="142"/>
    </row>
    <row r="81" spans="1:46" x14ac:dyDescent="0.35">
      <c r="B81" s="326" t="s">
        <v>51</v>
      </c>
      <c r="C81" s="326"/>
      <c r="D81" s="326"/>
      <c r="E81" s="326"/>
      <c r="F81" s="326"/>
      <c r="G81" s="327">
        <f>+SUM(G74:H80)</f>
        <v>0</v>
      </c>
      <c r="H81" s="327"/>
      <c r="I81" s="327">
        <f>+SUM(I74:J80)</f>
        <v>0</v>
      </c>
      <c r="J81" s="327"/>
      <c r="K81" s="327">
        <f>+SUM(K74:L80)</f>
        <v>0</v>
      </c>
      <c r="L81" s="327"/>
      <c r="M81" s="143"/>
      <c r="N81" s="327">
        <f>+SUM(N74:O80)</f>
        <v>0</v>
      </c>
      <c r="O81" s="327"/>
      <c r="Q81" s="328">
        <f>+SUM(Q74:R80)</f>
        <v>0</v>
      </c>
      <c r="R81" s="328"/>
      <c r="W81" s="141"/>
      <c r="X81" s="141"/>
      <c r="Y81" s="141"/>
      <c r="Z81" s="141"/>
      <c r="AA81" s="141"/>
      <c r="AB81" s="144"/>
      <c r="AQ81" s="145"/>
      <c r="AR81" s="145"/>
      <c r="AS81" s="145"/>
      <c r="AT81" s="145"/>
    </row>
    <row r="82" spans="1:46" x14ac:dyDescent="0.35">
      <c r="B82" s="138"/>
      <c r="C82" s="135"/>
      <c r="D82" s="135"/>
      <c r="E82" s="135"/>
      <c r="F82" s="135"/>
      <c r="G82" s="135"/>
      <c r="H82" s="135"/>
      <c r="I82" s="135"/>
      <c r="J82" s="135"/>
      <c r="K82" s="137"/>
      <c r="L82" s="137"/>
      <c r="M82" s="137"/>
      <c r="N82" s="137"/>
      <c r="O82" s="137"/>
      <c r="W82" s="137"/>
      <c r="X82" s="137"/>
      <c r="Y82" s="137"/>
      <c r="Z82" s="137"/>
      <c r="AA82" s="137"/>
    </row>
    <row r="83" spans="1:46" x14ac:dyDescent="0.35">
      <c r="B83" s="138"/>
      <c r="C83" s="135"/>
      <c r="D83" s="135"/>
      <c r="E83" s="135"/>
      <c r="F83" s="135"/>
      <c r="G83" s="336" t="s">
        <v>201</v>
      </c>
      <c r="H83" s="336"/>
      <c r="I83" s="336"/>
      <c r="J83" s="336"/>
      <c r="K83" s="336"/>
      <c r="L83" s="336"/>
      <c r="M83" s="137"/>
      <c r="N83" s="139" t="s">
        <v>195</v>
      </c>
      <c r="O83" s="140"/>
      <c r="Q83" s="139" t="s">
        <v>196</v>
      </c>
      <c r="R83" s="140"/>
      <c r="W83" s="137"/>
      <c r="X83" s="137"/>
      <c r="Y83" s="137"/>
      <c r="Z83" s="137"/>
      <c r="AA83" s="137"/>
      <c r="AQ83" s="141"/>
      <c r="AR83" s="141"/>
      <c r="AS83" s="141"/>
      <c r="AT83" s="141"/>
    </row>
    <row r="84" spans="1:46" ht="15" customHeight="1" x14ac:dyDescent="0.35">
      <c r="B84" s="337" t="s">
        <v>192</v>
      </c>
      <c r="C84" s="337"/>
      <c r="D84" s="337"/>
      <c r="E84" s="337"/>
      <c r="F84" s="337"/>
      <c r="G84" s="338" t="s">
        <v>197</v>
      </c>
      <c r="H84" s="338"/>
      <c r="I84" s="338" t="s">
        <v>67</v>
      </c>
      <c r="J84" s="338"/>
      <c r="K84" s="338" t="s">
        <v>189</v>
      </c>
      <c r="L84" s="338"/>
      <c r="M84" s="133" t="s">
        <v>179</v>
      </c>
      <c r="N84" s="327" t="s">
        <v>198</v>
      </c>
      <c r="O84" s="327"/>
      <c r="Q84" s="327" t="s">
        <v>198</v>
      </c>
      <c r="R84" s="327"/>
      <c r="W84" s="137"/>
      <c r="X84" s="137"/>
      <c r="Y84" s="137"/>
      <c r="Z84" s="137"/>
      <c r="AA84" s="137"/>
      <c r="AQ84" s="141"/>
      <c r="AR84" s="141"/>
      <c r="AS84" s="141"/>
      <c r="AT84" s="141"/>
    </row>
    <row r="85" spans="1:46" x14ac:dyDescent="0.35">
      <c r="B85" s="333">
        <f t="shared" ref="B85:B91" si="20">+B74</f>
        <v>0</v>
      </c>
      <c r="C85" s="333"/>
      <c r="D85" s="333"/>
      <c r="E85" s="333"/>
      <c r="F85" s="333"/>
      <c r="G85" s="334">
        <f t="shared" ref="G85:G91" si="21">+SUMPRODUCT(utentiPacDettaglio*(struttureInterventiPacDettaglio=$B42)*(tipologiaInterventoPacDettaglio=B$37))</f>
        <v>0</v>
      </c>
      <c r="H85" s="334"/>
      <c r="I85" s="334">
        <f t="shared" ref="I85:I91" si="22">+SUMPRODUCT(oreServizioPacDettaglio*(struttureInterventiPacDettaglio=$B42)*(tipologiaInterventoPacDettaglio=B$37))</f>
        <v>0</v>
      </c>
      <c r="J85" s="334"/>
      <c r="K85" s="334">
        <f t="shared" ref="K85:K91" si="23">+SUMPRODUCT(mensilitàPacDettaglio*(struttureInterventiPacDettaglio=$B42)*(tipologiaInterventoPacDettaglio=B$37))</f>
        <v>0</v>
      </c>
      <c r="L85" s="334"/>
      <c r="M85" s="137"/>
      <c r="N85" s="334">
        <f t="shared" ref="N85:N91" si="24">+SUMPRODUCT(mensilitàPacDettaglio2021*(struttureInterventiPacDettaglio=$B42)*(tipologiaInterventoPacDettaglio=B$37))</f>
        <v>0</v>
      </c>
      <c r="O85" s="334"/>
      <c r="Q85" s="335">
        <f t="shared" ref="Q85:Q91" si="25">+SUMPRODUCT(risorseNettePacDettaglio2021*(struttureInterventiPacDettaglio=$B42)*(tipologiaInterventoPacDettaglio=B$37))</f>
        <v>0</v>
      </c>
      <c r="R85" s="335"/>
      <c r="W85" s="146"/>
      <c r="X85" s="146"/>
      <c r="Y85" s="146"/>
      <c r="Z85" s="146"/>
      <c r="AA85" s="146"/>
      <c r="AQ85" s="142"/>
      <c r="AR85" s="142"/>
      <c r="AS85" s="142"/>
      <c r="AT85" s="142"/>
    </row>
    <row r="86" spans="1:46" x14ac:dyDescent="0.35">
      <c r="B86" s="333">
        <f t="shared" si="20"/>
        <v>0</v>
      </c>
      <c r="C86" s="333"/>
      <c r="D86" s="333"/>
      <c r="E86" s="333"/>
      <c r="F86" s="333"/>
      <c r="G86" s="334">
        <f t="shared" si="21"/>
        <v>0</v>
      </c>
      <c r="H86" s="334"/>
      <c r="I86" s="334">
        <f t="shared" si="22"/>
        <v>0</v>
      </c>
      <c r="J86" s="334"/>
      <c r="K86" s="334">
        <f t="shared" si="23"/>
        <v>0</v>
      </c>
      <c r="L86" s="334"/>
      <c r="M86" s="137"/>
      <c r="N86" s="334">
        <f t="shared" si="24"/>
        <v>0</v>
      </c>
      <c r="O86" s="334"/>
      <c r="Q86" s="335">
        <f t="shared" si="25"/>
        <v>0</v>
      </c>
      <c r="R86" s="335"/>
      <c r="W86" s="146"/>
      <c r="X86" s="146"/>
      <c r="Y86" s="146"/>
      <c r="Z86" s="146"/>
      <c r="AA86" s="146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  <c r="AS86" s="142"/>
      <c r="AT86" s="142"/>
    </row>
    <row r="87" spans="1:46" x14ac:dyDescent="0.35">
      <c r="B87" s="333" t="str">
        <f t="shared" si="20"/>
        <v>Erchie</v>
      </c>
      <c r="C87" s="333"/>
      <c r="D87" s="333"/>
      <c r="E87" s="333"/>
      <c r="F87" s="333"/>
      <c r="G87" s="334">
        <f t="shared" si="21"/>
        <v>0</v>
      </c>
      <c r="H87" s="334"/>
      <c r="I87" s="334">
        <f t="shared" si="22"/>
        <v>0</v>
      </c>
      <c r="J87" s="334"/>
      <c r="K87" s="334">
        <f t="shared" si="23"/>
        <v>0</v>
      </c>
      <c r="L87" s="334"/>
      <c r="M87" s="137"/>
      <c r="N87" s="334">
        <f t="shared" si="24"/>
        <v>0</v>
      </c>
      <c r="O87" s="334"/>
      <c r="Q87" s="335">
        <f t="shared" si="25"/>
        <v>0</v>
      </c>
      <c r="R87" s="335"/>
      <c r="W87" s="146"/>
      <c r="X87" s="146"/>
      <c r="Y87" s="146"/>
      <c r="Z87" s="146"/>
      <c r="AA87" s="146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  <c r="AS87" s="142"/>
      <c r="AT87" s="142"/>
    </row>
    <row r="88" spans="1:46" x14ac:dyDescent="0.35">
      <c r="B88" s="333" t="str">
        <f t="shared" si="20"/>
        <v>San Pietro Vernotico</v>
      </c>
      <c r="C88" s="333"/>
      <c r="D88" s="333"/>
      <c r="E88" s="333"/>
      <c r="F88" s="333"/>
      <c r="G88" s="334">
        <f t="shared" si="21"/>
        <v>0</v>
      </c>
      <c r="H88" s="334"/>
      <c r="I88" s="334">
        <f t="shared" si="22"/>
        <v>0</v>
      </c>
      <c r="J88" s="334"/>
      <c r="K88" s="334">
        <f t="shared" si="23"/>
        <v>0</v>
      </c>
      <c r="L88" s="334"/>
      <c r="M88" s="137"/>
      <c r="N88" s="334">
        <f t="shared" si="24"/>
        <v>0</v>
      </c>
      <c r="O88" s="334"/>
      <c r="Q88" s="335">
        <f t="shared" si="25"/>
        <v>0</v>
      </c>
      <c r="R88" s="335"/>
      <c r="W88" s="146"/>
      <c r="X88" s="146"/>
      <c r="Y88" s="146"/>
      <c r="Z88" s="146"/>
      <c r="AA88" s="146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  <c r="AS88" s="142"/>
      <c r="AT88" s="142"/>
    </row>
    <row r="89" spans="1:46" x14ac:dyDescent="0.35">
      <c r="B89" s="333">
        <f t="shared" si="20"/>
        <v>0</v>
      </c>
      <c r="C89" s="333"/>
      <c r="D89" s="333"/>
      <c r="E89" s="333"/>
      <c r="F89" s="333"/>
      <c r="G89" s="334">
        <f t="shared" si="21"/>
        <v>0</v>
      </c>
      <c r="H89" s="334"/>
      <c r="I89" s="334">
        <f t="shared" si="22"/>
        <v>0</v>
      </c>
      <c r="J89" s="334"/>
      <c r="K89" s="334">
        <f t="shared" si="23"/>
        <v>0</v>
      </c>
      <c r="L89" s="334"/>
      <c r="M89" s="137"/>
      <c r="N89" s="334">
        <f t="shared" si="24"/>
        <v>0</v>
      </c>
      <c r="O89" s="334"/>
      <c r="Q89" s="335">
        <f t="shared" si="25"/>
        <v>0</v>
      </c>
      <c r="R89" s="335"/>
      <c r="W89" s="146"/>
      <c r="X89" s="146"/>
      <c r="Y89" s="146"/>
      <c r="Z89" s="146"/>
      <c r="AA89" s="146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  <c r="AS89" s="142"/>
      <c r="AT89" s="142"/>
    </row>
    <row r="90" spans="1:46" x14ac:dyDescent="0.35">
      <c r="B90" s="333">
        <f t="shared" si="20"/>
        <v>0</v>
      </c>
      <c r="C90" s="333"/>
      <c r="D90" s="333"/>
      <c r="E90" s="333"/>
      <c r="F90" s="333"/>
      <c r="G90" s="334">
        <f t="shared" si="21"/>
        <v>0</v>
      </c>
      <c r="H90" s="334"/>
      <c r="I90" s="334">
        <f t="shared" si="22"/>
        <v>0</v>
      </c>
      <c r="J90" s="334"/>
      <c r="K90" s="334">
        <f t="shared" si="23"/>
        <v>0</v>
      </c>
      <c r="L90" s="334"/>
      <c r="M90" s="137"/>
      <c r="N90" s="334">
        <f t="shared" si="24"/>
        <v>0</v>
      </c>
      <c r="O90" s="334"/>
      <c r="Q90" s="335">
        <f t="shared" si="25"/>
        <v>0</v>
      </c>
      <c r="R90" s="335"/>
      <c r="W90" s="146"/>
      <c r="X90" s="146"/>
      <c r="Y90" s="146"/>
      <c r="Z90" s="146"/>
      <c r="AA90" s="146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  <c r="AS90" s="142"/>
      <c r="AT90" s="142"/>
    </row>
    <row r="91" spans="1:46" x14ac:dyDescent="0.35">
      <c r="B91" s="333">
        <f t="shared" si="20"/>
        <v>0</v>
      </c>
      <c r="C91" s="333"/>
      <c r="D91" s="333"/>
      <c r="E91" s="333"/>
      <c r="F91" s="333"/>
      <c r="G91" s="334">
        <f t="shared" si="21"/>
        <v>0</v>
      </c>
      <c r="H91" s="334"/>
      <c r="I91" s="334">
        <f t="shared" si="22"/>
        <v>0</v>
      </c>
      <c r="J91" s="334"/>
      <c r="K91" s="334">
        <f t="shared" si="23"/>
        <v>0</v>
      </c>
      <c r="L91" s="334"/>
      <c r="M91" s="137"/>
      <c r="N91" s="334">
        <f t="shared" si="24"/>
        <v>0</v>
      </c>
      <c r="O91" s="334"/>
      <c r="Q91" s="335">
        <f t="shared" si="25"/>
        <v>0</v>
      </c>
      <c r="R91" s="335"/>
      <c r="W91" s="146"/>
      <c r="X91" s="146"/>
      <c r="Y91" s="146"/>
      <c r="Z91" s="146"/>
      <c r="AA91" s="146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  <c r="AS91" s="142"/>
      <c r="AT91" s="142"/>
    </row>
    <row r="92" spans="1:46" x14ac:dyDescent="0.35">
      <c r="B92" s="326" t="s">
        <v>51</v>
      </c>
      <c r="C92" s="326"/>
      <c r="D92" s="326"/>
      <c r="E92" s="326"/>
      <c r="F92" s="326"/>
      <c r="G92" s="327">
        <f>+SUM(G85:H91)</f>
        <v>0</v>
      </c>
      <c r="H92" s="327"/>
      <c r="I92" s="327">
        <f>+SUM(I85:J91)</f>
        <v>0</v>
      </c>
      <c r="J92" s="327"/>
      <c r="K92" s="327">
        <f>+SUM(K85:L91)</f>
        <v>0</v>
      </c>
      <c r="L92" s="327"/>
      <c r="M92" s="143"/>
      <c r="N92" s="327">
        <f>+SUM(N85:O91)</f>
        <v>0</v>
      </c>
      <c r="O92" s="327"/>
      <c r="Q92" s="328">
        <f>+SUM(Q85:R91)</f>
        <v>0</v>
      </c>
      <c r="R92" s="328"/>
      <c r="W92" s="141"/>
      <c r="X92" s="141"/>
      <c r="Y92" s="141"/>
      <c r="Z92" s="141"/>
      <c r="AA92" s="141"/>
      <c r="AB92" s="144"/>
      <c r="AG92" s="145"/>
      <c r="AH92" s="145"/>
      <c r="AI92" s="145"/>
      <c r="AJ92" s="145"/>
      <c r="AK92" s="145"/>
      <c r="AL92" s="145"/>
      <c r="AM92" s="145"/>
      <c r="AN92" s="145"/>
      <c r="AO92" s="145"/>
      <c r="AP92" s="145"/>
      <c r="AQ92" s="145"/>
      <c r="AR92" s="145"/>
      <c r="AS92" s="145"/>
      <c r="AT92" s="145"/>
    </row>
    <row r="93" spans="1:46" x14ac:dyDescent="0.35">
      <c r="B93" s="138"/>
      <c r="C93" s="135"/>
      <c r="D93" s="135"/>
      <c r="E93" s="135"/>
      <c r="F93" s="135"/>
      <c r="G93" s="135"/>
      <c r="H93" s="135"/>
      <c r="I93" s="135"/>
      <c r="J93" s="135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</row>
    <row r="95" spans="1:46" x14ac:dyDescent="0.35">
      <c r="A95" s="329" t="s">
        <v>202</v>
      </c>
      <c r="B95" s="329"/>
      <c r="C95" s="329"/>
      <c r="D95" s="329"/>
      <c r="E95" s="329"/>
      <c r="F95" s="329"/>
      <c r="G95" s="329"/>
      <c r="H95" s="329"/>
      <c r="I95" s="329"/>
      <c r="J95" s="329"/>
      <c r="K95" s="329"/>
      <c r="L95" s="329"/>
      <c r="M95" s="329"/>
      <c r="N95" s="329"/>
      <c r="O95" s="329"/>
    </row>
    <row r="96" spans="1:46" x14ac:dyDescent="0.35">
      <c r="A96" s="330" t="s">
        <v>203</v>
      </c>
      <c r="B96" s="330"/>
      <c r="C96" s="330"/>
      <c r="D96" s="330"/>
      <c r="E96" s="330"/>
      <c r="F96" s="330"/>
      <c r="G96" s="147"/>
      <c r="H96" s="331" t="s">
        <v>204</v>
      </c>
      <c r="I96" s="331"/>
      <c r="J96" s="331"/>
      <c r="K96" s="331"/>
      <c r="L96" s="332" t="s">
        <v>118</v>
      </c>
      <c r="M96" s="332"/>
      <c r="N96" s="332"/>
      <c r="O96" s="332"/>
    </row>
    <row r="97" spans="1:54" s="150" customFormat="1" ht="29" x14ac:dyDescent="0.35">
      <c r="B97" s="319" t="str">
        <f>+IF(ISERROR(INDEX(INPUT!$B$134:$B$143,MATCH(2,INPUT!$AG$134:$AG$143,0))),"",BB97)</f>
        <v>Coordinatore - CCNL Cooperative - D3/E1 (costo orario 21,59 €/ora)</v>
      </c>
      <c r="C97" s="319"/>
      <c r="D97" s="319"/>
      <c r="E97" s="319"/>
      <c r="F97" s="319"/>
      <c r="G97" s="319"/>
      <c r="H97" s="325">
        <f>+IF(ISERROR(INDEX(INPUT!$G$134:$G$143,MATCH(2,INPUT!$AG$134:$AG$143,0))),"",INDEX(INPUT!$G$134:$G$143,MATCH(2,INPUT!$AG$134:$AG$143,0)))</f>
        <v>369.51823999999999</v>
      </c>
      <c r="I97" s="325"/>
      <c r="J97" s="325"/>
      <c r="K97" s="325"/>
      <c r="L97" s="321">
        <f>+IF(ISERROR(INDEX(INPUT!$H$134:$H$143,MATCH(2,INPUT!$AG$134:$AG$143,0))),"",INDEX(INPUT!$H$134:$H$143,MATCH(2,INPUT!$AG$134:$AG$143,0)))</f>
        <v>7977.8988015999994</v>
      </c>
      <c r="M97" s="321"/>
      <c r="N97" s="321"/>
      <c r="O97" s="321"/>
      <c r="AV97" s="4"/>
      <c r="AX97" s="4" t="str">
        <f t="shared" ref="AX97:AX104" si="26">+B97</f>
        <v>Coordinatore - CCNL Cooperative - D3/E1 (costo orario 21,59 €/ora)</v>
      </c>
      <c r="AZ97" s="151">
        <v>2</v>
      </c>
      <c r="BA97" s="151">
        <f>+INDEX(INPUT!$AH$134:$AH$143,MATCH('SCHEDA DI INTERVENTO'!AZ97,INPUT!$AG$134:$AG$143,0))</f>
        <v>0</v>
      </c>
      <c r="BB97" s="151" t="str">
        <f>+INDEX(INPUT!$AI$134:$AI$143,MATCH('SCHEDA DI INTERVENTO'!AZ97,INPUT!$AG$134:$AG$143,0))</f>
        <v>Coordinatore - CCNL Cooperative - D3/E1 (costo orario 21,59 €/ora)</v>
      </c>
    </row>
    <row r="98" spans="1:54" s="150" customFormat="1" ht="29" x14ac:dyDescent="0.35">
      <c r="B98" s="319" t="str">
        <f>+IF(ISERROR(INDEX(INPUT!$B$134:$B$143,MATCH(3,INPUT!$AG$134:$AG$143,0))),"",BB98)</f>
        <v>Educatore Professionale - CCNL Cooperative - D2 (costo orario 20,22 €/ora)</v>
      </c>
      <c r="C98" s="319"/>
      <c r="D98" s="319"/>
      <c r="E98" s="319"/>
      <c r="F98" s="319"/>
      <c r="G98" s="319"/>
      <c r="H98" s="325">
        <f>+IF(ISERROR(INDEX(INPUT!$G$134:$G$143,MATCH(3,INPUT!$AG$134:$AG$143,0))),"",INDEX(INPUT!$G$134:$G$143,MATCH(3,INPUT!$AG$134:$AG$143,0)))</f>
        <v>2309.489</v>
      </c>
      <c r="I98" s="325"/>
      <c r="J98" s="325"/>
      <c r="K98" s="325"/>
      <c r="L98" s="321">
        <f>+IF(ISERROR(INDEX(INPUT!$H$134:$H$143,MATCH(3,INPUT!$AG$134:$AG$143,0))),"",INDEX(INPUT!$H$134:$H$143,MATCH(3,INPUT!$AG$134:$AG$143,0)))</f>
        <v>46697.867579999998</v>
      </c>
      <c r="M98" s="321"/>
      <c r="N98" s="321"/>
      <c r="O98" s="321"/>
      <c r="AV98" s="4"/>
      <c r="AX98" s="4" t="str">
        <f t="shared" si="26"/>
        <v>Educatore Professionale - CCNL Cooperative - D2 (costo orario 20,22 €/ora)</v>
      </c>
      <c r="AZ98" s="151">
        <v>3</v>
      </c>
      <c r="BA98" s="151">
        <f>+INDEX(INPUT!$AH$134:$AH$143,MATCH('SCHEDA DI INTERVENTO'!AZ98,INPUT!$AG$134:$AG$143,0))</f>
        <v>0</v>
      </c>
      <c r="BB98" s="151" t="str">
        <f>+INDEX(INPUT!$AI$134:$AI$143,MATCH('SCHEDA DI INTERVENTO'!AZ98,INPUT!$AG$134:$AG$143,0))</f>
        <v>Educatore Professionale - CCNL Cooperative - D2 (costo orario 20,22 €/ora)</v>
      </c>
    </row>
    <row r="99" spans="1:54" s="150" customFormat="1" ht="29" x14ac:dyDescent="0.35">
      <c r="B99" s="319" t="str">
        <f>+IF(ISERROR(INDEX(INPUT!$B$134:$B$143,MATCH(4,INPUT!$AG$134:$AG$143,0))),"",BB99)</f>
        <v>Ausiliario - CCNL Cooperative - B1 (costo orario 16,73 €/ora)</v>
      </c>
      <c r="C99" s="319"/>
      <c r="D99" s="319"/>
      <c r="E99" s="319"/>
      <c r="F99" s="319"/>
      <c r="G99" s="319"/>
      <c r="H99" s="325">
        <f>+IF(ISERROR(INDEX(INPUT!$G$134:$G$143,MATCH(4,INPUT!$AG$134:$AG$143,0))),"",INDEX(INPUT!$G$134:$G$143,MATCH(4,INPUT!$AG$134:$AG$143,0)))</f>
        <v>2309.489</v>
      </c>
      <c r="I99" s="325"/>
      <c r="J99" s="325"/>
      <c r="K99" s="325"/>
      <c r="L99" s="321">
        <f>+IF(ISERROR(INDEX(INPUT!$H$134:$H$143,MATCH(4,INPUT!$AG$134:$AG$143,0))),"",INDEX(INPUT!$H$134:$H$143,MATCH(4,INPUT!$AG$134:$AG$143,0)))</f>
        <v>38637.750970000001</v>
      </c>
      <c r="M99" s="321"/>
      <c r="N99" s="321"/>
      <c r="O99" s="321"/>
      <c r="AV99" s="4"/>
      <c r="AX99" s="4" t="str">
        <f t="shared" si="26"/>
        <v>Ausiliario - CCNL Cooperative - B1 (costo orario 16,73 €/ora)</v>
      </c>
      <c r="AZ99" s="151">
        <v>4</v>
      </c>
      <c r="BA99" s="151">
        <f>+INDEX(INPUT!$AH$134:$AH$143,MATCH('SCHEDA DI INTERVENTO'!AZ99,INPUT!$AG$134:$AG$143,0))</f>
        <v>0</v>
      </c>
      <c r="BB99" s="151" t="str">
        <f>+INDEX(INPUT!$AI$134:$AI$143,MATCH('SCHEDA DI INTERVENTO'!AZ99,INPUT!$AG$134:$AG$143,0))</f>
        <v>Ausiliario - CCNL Cooperative - B1 (costo orario 16,73 €/ora)</v>
      </c>
    </row>
    <row r="100" spans="1:54" s="150" customFormat="1" x14ac:dyDescent="0.35">
      <c r="B100" s="319" t="str">
        <f>+IF(ISERROR(INDEX(INPUT!$B$134:$B$143,MATCH(5,INPUT!$AG$134:$AG$143,0))),"",BB100)</f>
        <v>Pasti</v>
      </c>
      <c r="C100" s="319"/>
      <c r="D100" s="319"/>
      <c r="E100" s="319"/>
      <c r="F100" s="319"/>
      <c r="G100" s="319"/>
      <c r="H100" s="325">
        <f>+IF(ISERROR(INDEX(INPUT!$G$134:$G$143,MATCH(5,INPUT!$AG$134:$AG$143,0))),"",INDEX(INPUT!$G$134:$G$143,MATCH(5,INPUT!$AG$134:$AG$143,0)))</f>
        <v>3380</v>
      </c>
      <c r="I100" s="325"/>
      <c r="J100" s="325"/>
      <c r="K100" s="325"/>
      <c r="L100" s="321">
        <f>+IF(ISERROR(INDEX(INPUT!$H$134:$H$143,MATCH(5,INPUT!$AG$134:$AG$143,0))),"",INDEX(INPUT!$H$134:$H$143,MATCH(5,INPUT!$AG$134:$AG$143,0)))</f>
        <v>13520</v>
      </c>
      <c r="M100" s="321"/>
      <c r="N100" s="321"/>
      <c r="O100" s="321"/>
      <c r="AV100" s="4"/>
      <c r="AX100" s="4" t="str">
        <f t="shared" si="26"/>
        <v>Pasti</v>
      </c>
      <c r="AZ100" s="151">
        <v>5</v>
      </c>
      <c r="BA100" s="151" t="str">
        <f>+INDEX(INPUT!$AH$134:$AH$143,MATCH('SCHEDA DI INTERVENTO'!AZ100,INPUT!$AG$134:$AG$143,0))</f>
        <v>quantità</v>
      </c>
      <c r="BB100" s="151" t="str">
        <f>+INDEX(INPUT!$AI$134:$AI$143,MATCH('SCHEDA DI INTERVENTO'!AZ100,INPUT!$AG$134:$AG$143,0))</f>
        <v>Pasti</v>
      </c>
    </row>
    <row r="101" spans="1:54" s="150" customFormat="1" x14ac:dyDescent="0.35">
      <c r="B101" s="319" t="str">
        <f>+IF(ISERROR(INDEX(INPUT!$B$134:$B$143,MATCH(6,INPUT!$AG$134:$AG$143,0))),"",BB101)</f>
        <v>Spese generali</v>
      </c>
      <c r="C101" s="319"/>
      <c r="D101" s="319"/>
      <c r="E101" s="319"/>
      <c r="F101" s="319"/>
      <c r="G101" s="319"/>
      <c r="H101" s="325">
        <f>+IF(ISERROR(INDEX(INPUT!$G$134:$G$143,MATCH(6,INPUT!$AG$134:$AG$143,0))),"",INDEX(INPUT!$G$134:$G$143,MATCH(6,INPUT!$AG$134:$AG$143,0)))</f>
        <v>0.08</v>
      </c>
      <c r="I101" s="325"/>
      <c r="J101" s="325"/>
      <c r="K101" s="325"/>
      <c r="L101" s="321">
        <f>+IF(ISERROR(INDEX(INPUT!$H$134:$H$143,MATCH(6,INPUT!$AG$134:$AG$143,0))),"",INDEX(INPUT!$H$134:$H$143,MATCH(6,INPUT!$AG$134:$AG$143,0)))</f>
        <v>7465.0813881279992</v>
      </c>
      <c r="M101" s="321"/>
      <c r="N101" s="321"/>
      <c r="O101" s="321"/>
      <c r="AV101" s="4"/>
      <c r="AX101" s="4" t="str">
        <f t="shared" si="26"/>
        <v>Spese generali</v>
      </c>
      <c r="AZ101" s="151">
        <v>6</v>
      </c>
      <c r="BA101" s="151" t="str">
        <f>+INDEX(INPUT!$AH$134:$AH$143,MATCH('SCHEDA DI INTERVENTO'!AZ101,INPUT!$AG$134:$AG$143,0))</f>
        <v>percentuale</v>
      </c>
      <c r="BB101" s="151" t="str">
        <f>+INDEX(INPUT!$AI$134:$AI$143,MATCH('SCHEDA DI INTERVENTO'!AZ101,INPUT!$AG$134:$AG$143,0))</f>
        <v>Spese generali</v>
      </c>
    </row>
    <row r="102" spans="1:54" s="150" customFormat="1" x14ac:dyDescent="0.35">
      <c r="B102" s="319" t="str">
        <f>+IF(ISERROR(INDEX(INPUT!$B$134:$B$143,MATCH(7,INPUT!$AG$134:$AG$143,0))),"",BB102)</f>
        <v>IVA</v>
      </c>
      <c r="C102" s="319"/>
      <c r="D102" s="319"/>
      <c r="E102" s="319"/>
      <c r="F102" s="319"/>
      <c r="G102" s="319"/>
      <c r="H102" s="325">
        <f>+IF(ISERROR(INDEX(INPUT!$G$134:$G$143,MATCH(7,INPUT!$AG$134:$AG$143,0))),"",INDEX(INPUT!$G$134:$G$143,MATCH(7,INPUT!$AG$134:$AG$143,0)))</f>
        <v>0.05</v>
      </c>
      <c r="I102" s="325"/>
      <c r="J102" s="325"/>
      <c r="K102" s="325"/>
      <c r="L102" s="321">
        <f>+IF(ISERROR(INDEX(INPUT!$H$134:$H$143,MATCH(7,INPUT!$AG$134:$AG$143,0))),"",INDEX(INPUT!$H$134:$H$143,MATCH(7,INPUT!$AG$134:$AG$143,0)))</f>
        <v>5714.9299369864002</v>
      </c>
      <c r="M102" s="321"/>
      <c r="N102" s="321"/>
      <c r="O102" s="321"/>
      <c r="AV102" s="4"/>
      <c r="AX102" s="4" t="str">
        <f t="shared" si="26"/>
        <v>IVA</v>
      </c>
      <c r="AZ102" s="151">
        <v>7</v>
      </c>
      <c r="BA102" s="151" t="str">
        <f>+INDEX(INPUT!$AH$134:$AH$143,MATCH('SCHEDA DI INTERVENTO'!AZ102,INPUT!$AG$134:$AG$143,0))</f>
        <v>percentuale</v>
      </c>
      <c r="BB102" s="151" t="str">
        <f>+INDEX(INPUT!$AI$134:$AI$143,MATCH('SCHEDA DI INTERVENTO'!AZ102,INPUT!$AG$134:$AG$143,0))</f>
        <v>IVA</v>
      </c>
    </row>
    <row r="103" spans="1:54" s="150" customFormat="1" x14ac:dyDescent="0.35">
      <c r="B103" s="319" t="str">
        <f>+IF(ISERROR(INDEX(INPUT!$B$134:$B$143,MATCH(8,INPUT!$AG$134:$AG$143,0))),"",BB103)</f>
        <v/>
      </c>
      <c r="C103" s="319"/>
      <c r="D103" s="319"/>
      <c r="E103" s="319"/>
      <c r="F103" s="319"/>
      <c r="G103" s="319"/>
      <c r="H103" s="325" t="str">
        <f>+IF(ISERROR(INDEX(INPUT!$G$134:$G$143,MATCH(8,INPUT!$AG$134:$AG$143,0))),"",INDEX(INPUT!$G$134:$G$143,MATCH(8,INPUT!$AG$134:$AG$143,0)))</f>
        <v/>
      </c>
      <c r="I103" s="325"/>
      <c r="J103" s="325"/>
      <c r="K103" s="325"/>
      <c r="L103" s="321" t="str">
        <f>+IF(ISERROR(INDEX(INPUT!$H$134:$H$143,MATCH(8,INPUT!$AG$134:$AG$143,0))),"",INDEX(INPUT!$H$134:$H$143,MATCH(8,INPUT!$AG$134:$AG$143,0)))</f>
        <v/>
      </c>
      <c r="M103" s="321"/>
      <c r="N103" s="321"/>
      <c r="O103" s="321"/>
      <c r="AV103" s="4"/>
      <c r="AX103" s="4" t="str">
        <f t="shared" si="26"/>
        <v/>
      </c>
      <c r="AZ103" s="151">
        <v>8</v>
      </c>
      <c r="BA103" s="151" t="e">
        <f>+INDEX(INPUT!$AH$134:$AH$143,MATCH('SCHEDA DI INTERVENTO'!AZ103,INPUT!$AG$134:$AG$143,0))</f>
        <v>#N/A</v>
      </c>
      <c r="BB103" s="151" t="e">
        <f>+INDEX(INPUT!$AI$134:$AI$143,MATCH('SCHEDA DI INTERVENTO'!AZ103,INPUT!$AG$134:$AG$143,0))</f>
        <v>#N/A</v>
      </c>
    </row>
    <row r="104" spans="1:54" s="150" customFormat="1" x14ac:dyDescent="0.35">
      <c r="B104" s="319" t="str">
        <f>+IF(ISERROR(INDEX(INPUT!$B$134:$B$143,MATCH(9,INPUT!$AG$134:$AG$143,0))),"",BB104)</f>
        <v/>
      </c>
      <c r="C104" s="319"/>
      <c r="D104" s="319"/>
      <c r="E104" s="319"/>
      <c r="F104" s="319"/>
      <c r="G104" s="319"/>
      <c r="H104" s="325" t="str">
        <f>+IF(ISERROR(INDEX(INPUT!$G$134:$G$143,MATCH(9,INPUT!$AG$134:$AG$143,0))),"",INDEX(INPUT!$G$134:$G$143,MATCH(9,INPUT!$AG$134:$AG$143,0)))</f>
        <v/>
      </c>
      <c r="I104" s="325"/>
      <c r="J104" s="325"/>
      <c r="K104" s="325"/>
      <c r="L104" s="321" t="str">
        <f>+IF(ISERROR(INDEX(INPUT!$H$134:$H$143,MATCH(9,INPUT!$AG$134:$AG$143,0))),"",INDEX(INPUT!$H$134:$H$143,MATCH(9,INPUT!$AG$134:$AG$143,0)))</f>
        <v/>
      </c>
      <c r="M104" s="321"/>
      <c r="N104" s="321"/>
      <c r="O104" s="321"/>
      <c r="AV104" s="4"/>
      <c r="AX104" s="4" t="str">
        <f t="shared" si="26"/>
        <v/>
      </c>
      <c r="AZ104" s="151">
        <v>9</v>
      </c>
      <c r="BA104" s="151" t="e">
        <f>+INDEX(INPUT!$AH$134:$AH$143,MATCH('SCHEDA DI INTERVENTO'!AZ104,INPUT!$AG$134:$AG$143,0))</f>
        <v>#N/A</v>
      </c>
      <c r="BB104" s="151" t="e">
        <f>+INDEX(INPUT!$AI$134:$AI$143,MATCH('SCHEDA DI INTERVENTO'!AZ104,INPUT!$AG$134:$AG$143,0))</f>
        <v>#N/A</v>
      </c>
    </row>
    <row r="105" spans="1:54" s="150" customFormat="1" x14ac:dyDescent="0.35">
      <c r="B105" s="319" t="str">
        <f>+IF(ISERROR(INDEX(INPUT!$B$134:$B$143,MATCH(10,INPUT!$AG$134:$AG$143,0))),"",BB105)</f>
        <v/>
      </c>
      <c r="C105" s="319"/>
      <c r="D105" s="319"/>
      <c r="E105" s="319"/>
      <c r="F105" s="319"/>
      <c r="G105" s="319"/>
      <c r="H105" s="325" t="str">
        <f>+IF(ISERROR(INDEX(INPUT!$G$134:$G$143,MATCH(10,INPUT!$AG$134:$AG$143,0))),"",INDEX(INPUT!$G$134:$G$143,MATCH(10,INPUT!$AG$134:$AG$143,0)))</f>
        <v/>
      </c>
      <c r="I105" s="325"/>
      <c r="J105" s="325"/>
      <c r="K105" s="325"/>
      <c r="L105" s="321" t="str">
        <f>+IF(ISERROR(INDEX(INPUT!$H$134:$H$143,MATCH(10,INPUT!$AG$134:$AG$143,0))),"",INDEX(INPUT!$H$134:$H$143,MATCH(10,INPUT!$AG$134:$AG$143,0)))</f>
        <v/>
      </c>
      <c r="M105" s="321"/>
      <c r="N105" s="321"/>
      <c r="O105" s="321"/>
      <c r="AV105" s="4"/>
      <c r="AX105" s="4"/>
      <c r="AZ105" s="151">
        <v>10</v>
      </c>
      <c r="BA105" s="151" t="e">
        <f>+INDEX(INPUT!$AH$134:$AH$143,MATCH('SCHEDA DI INTERVENTO'!AZ105,INPUT!$AG$134:$AG$143,0))</f>
        <v>#N/A</v>
      </c>
      <c r="BB105" s="151" t="e">
        <f>+INDEX(INPUT!$AI$134:$AI$143,MATCH('SCHEDA DI INTERVENTO'!AZ105,INPUT!$AG$134:$AG$143,0))</f>
        <v>#N/A</v>
      </c>
    </row>
    <row r="106" spans="1:54" s="150" customFormat="1" x14ac:dyDescent="0.35">
      <c r="B106" s="319" t="str">
        <f>+IF(ISERROR(INDEX(INPUT!$B$134:$B$143,MATCH(11,INPUT!$AG$134:$AG$143,0))),"",BB106)</f>
        <v/>
      </c>
      <c r="C106" s="319"/>
      <c r="D106" s="319"/>
      <c r="E106" s="319"/>
      <c r="F106" s="319"/>
      <c r="G106" s="319"/>
      <c r="H106" s="325" t="str">
        <f>+IF(ISERROR(INDEX(INPUT!$G$134:$G$143,MATCH(11,INPUT!$AG$134:$AG$143,0))),"",INDEX(INPUT!$G$134:$G$143,MATCH(11,INPUT!$AG$134:$AG$143,0)))</f>
        <v/>
      </c>
      <c r="I106" s="325"/>
      <c r="J106" s="325"/>
      <c r="K106" s="325"/>
      <c r="L106" s="321" t="str">
        <f>+IF(ISERROR(INDEX(INPUT!$H$134:$H$143,MATCH(11,INPUT!$AG$134:$AG$143,0))),"",INDEX(INPUT!$H$134:$H$143,MATCH(11,INPUT!$AG$134:$AG$143,0)))</f>
        <v/>
      </c>
      <c r="M106" s="321"/>
      <c r="N106" s="321"/>
      <c r="O106" s="321"/>
      <c r="AV106" s="4"/>
      <c r="AX106" s="4"/>
      <c r="AZ106" s="151">
        <v>11</v>
      </c>
      <c r="BA106" s="151" t="e">
        <f>+INDEX(INPUT!$AH$134:$AH$143,MATCH('SCHEDA DI INTERVENTO'!AZ106,INPUT!$AG$134:$AG$143,0))</f>
        <v>#N/A</v>
      </c>
      <c r="BB106" s="151" t="e">
        <f>+INDEX(INPUT!$AI$134:$AI$143,MATCH('SCHEDA DI INTERVENTO'!AZ106,INPUT!$AG$134:$AG$143,0))</f>
        <v>#N/A</v>
      </c>
    </row>
    <row r="107" spans="1:54" s="152" customFormat="1" ht="15" customHeight="1" x14ac:dyDescent="0.35">
      <c r="B107" s="322" t="s">
        <v>205</v>
      </c>
      <c r="C107" s="322"/>
      <c r="D107" s="322"/>
      <c r="E107" s="322"/>
      <c r="F107" s="322"/>
      <c r="G107" s="322"/>
      <c r="H107" s="323"/>
      <c r="I107" s="323"/>
      <c r="J107" s="323"/>
      <c r="K107" s="323"/>
      <c r="L107" s="324">
        <f>+SUM(L97:O106)</f>
        <v>120013.5286767144</v>
      </c>
      <c r="M107" s="324"/>
      <c r="N107" s="324"/>
      <c r="O107" s="324"/>
      <c r="AV107" s="11"/>
      <c r="AX107" s="11"/>
    </row>
    <row r="108" spans="1:54" s="150" customFormat="1" x14ac:dyDescent="0.35">
      <c r="B108" s="319" t="str">
        <f>+INPUT!B146</f>
        <v>Eventuale Compartecipazione degli Utenti</v>
      </c>
      <c r="C108" s="319"/>
      <c r="D108" s="319"/>
      <c r="E108" s="319"/>
      <c r="F108" s="319"/>
      <c r="G108" s="319"/>
      <c r="H108" s="320"/>
      <c r="I108" s="320"/>
      <c r="J108" s="320"/>
      <c r="K108" s="320"/>
      <c r="L108" s="321">
        <f>+INPUT!H146</f>
        <v>0</v>
      </c>
      <c r="M108" s="321"/>
      <c r="N108" s="321"/>
      <c r="O108" s="321"/>
      <c r="AV108" s="4"/>
      <c r="AX108" s="4"/>
    </row>
    <row r="109" spans="1:54" s="152" customFormat="1" ht="15" customHeight="1" x14ac:dyDescent="0.35">
      <c r="B109" s="319" t="s">
        <v>131</v>
      </c>
      <c r="C109" s="319"/>
      <c r="D109" s="319"/>
      <c r="E109" s="319"/>
      <c r="F109" s="319"/>
      <c r="G109" s="319"/>
      <c r="H109" s="320"/>
      <c r="I109" s="320"/>
      <c r="J109" s="320"/>
      <c r="K109" s="320"/>
      <c r="L109" s="321">
        <f>+INPUT!H145</f>
        <v>0</v>
      </c>
      <c r="M109" s="321"/>
      <c r="N109" s="321"/>
      <c r="O109" s="321"/>
      <c r="AV109" s="11"/>
      <c r="AX109" s="11"/>
    </row>
    <row r="110" spans="1:54" s="152" customFormat="1" ht="15" customHeight="1" x14ac:dyDescent="0.35">
      <c r="B110" s="322" t="s">
        <v>206</v>
      </c>
      <c r="C110" s="322"/>
      <c r="D110" s="322"/>
      <c r="E110" s="322"/>
      <c r="F110" s="322"/>
      <c r="G110" s="322"/>
      <c r="H110" s="323"/>
      <c r="I110" s="323"/>
      <c r="J110" s="323"/>
      <c r="K110" s="323"/>
      <c r="L110" s="324">
        <f>+L107+L108+L109</f>
        <v>120013.5286767144</v>
      </c>
      <c r="M110" s="324"/>
      <c r="N110" s="324"/>
      <c r="O110" s="324"/>
      <c r="AV110" s="11"/>
      <c r="AX110" s="11"/>
    </row>
    <row r="112" spans="1:54" x14ac:dyDescent="0.35">
      <c r="A112" s="309" t="s">
        <v>207</v>
      </c>
      <c r="B112" s="309"/>
      <c r="C112" s="309"/>
      <c r="D112" s="309"/>
      <c r="E112" s="309"/>
      <c r="F112" s="309"/>
      <c r="G112" s="309"/>
      <c r="H112" s="309"/>
      <c r="I112" s="309"/>
      <c r="J112" s="309"/>
      <c r="K112" s="309"/>
      <c r="L112" s="309"/>
      <c r="M112" s="309"/>
      <c r="N112" s="309"/>
      <c r="O112" s="309"/>
      <c r="P112" s="153"/>
    </row>
    <row r="113" spans="1:45" x14ac:dyDescent="0.35">
      <c r="A113" s="154"/>
      <c r="B113" s="154"/>
      <c r="C113" s="154"/>
      <c r="D113" s="154"/>
      <c r="E113" s="154"/>
      <c r="F113" s="154"/>
      <c r="G113" s="154"/>
      <c r="H113" s="154"/>
      <c r="I113" s="154"/>
      <c r="J113" s="154"/>
      <c r="K113" s="154"/>
      <c r="L113" s="310" t="s">
        <v>108</v>
      </c>
      <c r="M113" s="310"/>
      <c r="N113" s="310"/>
      <c r="O113" s="310"/>
      <c r="P113" s="153"/>
    </row>
    <row r="114" spans="1:45" x14ac:dyDescent="0.35">
      <c r="A114" s="307" t="s">
        <v>208</v>
      </c>
      <c r="B114" s="307"/>
      <c r="C114" s="307"/>
      <c r="D114" s="307"/>
      <c r="E114" s="307"/>
      <c r="F114" s="307"/>
      <c r="G114" s="307"/>
      <c r="H114" s="307"/>
      <c r="I114" s="307"/>
      <c r="J114" s="307"/>
      <c r="K114" s="307"/>
      <c r="L114" s="318">
        <f>INPUT!D123</f>
        <v>44896</v>
      </c>
      <c r="M114" s="318"/>
      <c r="N114" s="318"/>
      <c r="O114" s="318"/>
      <c r="P114" s="153"/>
    </row>
    <row r="115" spans="1:45" x14ac:dyDescent="0.35">
      <c r="A115" s="307" t="s">
        <v>209</v>
      </c>
      <c r="B115" s="307"/>
      <c r="C115" s="307"/>
      <c r="D115" s="307"/>
      <c r="E115" s="307"/>
      <c r="F115" s="307"/>
      <c r="G115" s="307"/>
      <c r="H115" s="307"/>
      <c r="I115" s="307"/>
      <c r="J115" s="307"/>
      <c r="K115" s="307"/>
      <c r="L115" s="318">
        <f>INPUT!D124</f>
        <v>44927</v>
      </c>
      <c r="M115" s="318"/>
      <c r="N115" s="318"/>
      <c r="O115" s="318"/>
      <c r="P115" s="153"/>
    </row>
    <row r="116" spans="1:45" x14ac:dyDescent="0.35">
      <c r="A116" s="307" t="s">
        <v>210</v>
      </c>
      <c r="B116" s="307"/>
      <c r="C116" s="307"/>
      <c r="D116" s="307"/>
      <c r="E116" s="307"/>
      <c r="F116" s="307"/>
      <c r="G116" s="307"/>
      <c r="H116" s="307"/>
      <c r="I116" s="307"/>
      <c r="J116" s="307"/>
      <c r="K116" s="307"/>
      <c r="L116" s="318">
        <f>INPUT!D125</f>
        <v>44927</v>
      </c>
      <c r="M116" s="318"/>
      <c r="N116" s="318"/>
      <c r="O116" s="318"/>
      <c r="P116" s="153"/>
    </row>
    <row r="117" spans="1:45" x14ac:dyDescent="0.35">
      <c r="A117" s="307" t="s">
        <v>211</v>
      </c>
      <c r="B117" s="307"/>
      <c r="C117" s="307"/>
      <c r="D117" s="307"/>
      <c r="E117" s="307"/>
      <c r="F117" s="307"/>
      <c r="G117" s="307"/>
      <c r="H117" s="307"/>
      <c r="I117" s="307"/>
      <c r="J117" s="307"/>
      <c r="K117" s="307"/>
      <c r="L117" s="318">
        <f>INPUT!D126</f>
        <v>45108</v>
      </c>
      <c r="M117" s="318"/>
      <c r="N117" s="318"/>
      <c r="O117" s="318"/>
      <c r="P117" s="153"/>
    </row>
    <row r="118" spans="1:45" x14ac:dyDescent="0.35">
      <c r="A118" s="153"/>
      <c r="B118" s="153"/>
      <c r="C118" s="153"/>
      <c r="D118" s="153"/>
      <c r="E118" s="153"/>
      <c r="F118" s="153"/>
      <c r="G118" s="153"/>
      <c r="H118" s="153"/>
      <c r="I118" s="153"/>
      <c r="J118" s="153"/>
      <c r="K118" s="153"/>
      <c r="L118" s="153"/>
      <c r="M118" s="153"/>
      <c r="N118" s="153"/>
      <c r="O118" s="153"/>
      <c r="P118" s="153"/>
    </row>
    <row r="119" spans="1:45" ht="15" customHeight="1" x14ac:dyDescent="0.35">
      <c r="A119" s="155" t="s">
        <v>212</v>
      </c>
      <c r="B119" s="156"/>
      <c r="C119" s="156"/>
      <c r="D119" s="156"/>
      <c r="E119" s="156"/>
      <c r="F119" s="156"/>
      <c r="G119" s="156"/>
      <c r="H119" s="156"/>
      <c r="I119" s="156"/>
      <c r="J119" s="156"/>
      <c r="K119" s="156"/>
      <c r="L119" s="156"/>
      <c r="M119" s="153"/>
      <c r="N119" s="153"/>
      <c r="O119" s="153"/>
      <c r="P119" s="153"/>
    </row>
    <row r="120" spans="1:45" x14ac:dyDescent="0.35">
      <c r="A120" s="153"/>
      <c r="B120" s="153"/>
      <c r="C120" s="153"/>
      <c r="D120" s="153"/>
      <c r="E120" s="153"/>
      <c r="F120" s="153"/>
      <c r="G120" s="153"/>
      <c r="H120" s="153"/>
      <c r="I120" s="153"/>
      <c r="J120" s="153"/>
      <c r="K120" s="153"/>
      <c r="L120" s="153"/>
      <c r="M120" s="153"/>
      <c r="N120" s="153"/>
      <c r="O120" s="153"/>
      <c r="P120" s="153"/>
    </row>
    <row r="121" spans="1:45" x14ac:dyDescent="0.35">
      <c r="A121" s="153"/>
      <c r="B121" s="153"/>
      <c r="C121" s="153"/>
      <c r="D121" s="317" t="s">
        <v>213</v>
      </c>
      <c r="E121" s="317"/>
      <c r="F121" s="317"/>
      <c r="G121" s="317" t="s">
        <v>214</v>
      </c>
      <c r="H121" s="317"/>
      <c r="I121" s="317"/>
      <c r="J121" s="317" t="s">
        <v>215</v>
      </c>
      <c r="K121" s="317"/>
      <c r="L121" s="317"/>
      <c r="M121" s="153"/>
      <c r="N121" s="153"/>
      <c r="O121" s="153"/>
      <c r="P121" s="153"/>
      <c r="AH121" s="157"/>
      <c r="AI121" s="157"/>
      <c r="AJ121" s="157"/>
      <c r="AK121" s="157"/>
      <c r="AL121" s="157"/>
      <c r="AM121" s="157"/>
      <c r="AN121" s="157"/>
      <c r="AO121" s="157"/>
      <c r="AP121" s="157"/>
      <c r="AQ121" s="157"/>
      <c r="AR121" s="157"/>
      <c r="AS121" s="157"/>
    </row>
    <row r="122" spans="1:45" x14ac:dyDescent="0.35">
      <c r="A122" s="153"/>
      <c r="B122" s="153"/>
      <c r="C122" s="153"/>
      <c r="D122" s="316">
        <f>INPUT!$D$106</f>
        <v>0</v>
      </c>
      <c r="E122" s="316"/>
      <c r="F122" s="316"/>
      <c r="G122" s="316">
        <f>+INPUT!$E$106</f>
        <v>101549.9088802968</v>
      </c>
      <c r="H122" s="316"/>
      <c r="I122" s="316"/>
      <c r="J122" s="316">
        <f>+INPUT!F106</f>
        <v>18463.619796417599</v>
      </c>
      <c r="K122" s="316"/>
      <c r="L122" s="316"/>
      <c r="M122" s="153"/>
      <c r="N122" s="153"/>
      <c r="O122" s="153"/>
      <c r="P122" s="153"/>
      <c r="AH122" s="158"/>
      <c r="AI122" s="158"/>
      <c r="AJ122" s="158"/>
      <c r="AK122" s="158"/>
      <c r="AL122" s="158"/>
      <c r="AM122" s="158"/>
      <c r="AN122" s="158"/>
      <c r="AO122" s="158"/>
      <c r="AP122" s="158"/>
      <c r="AQ122" s="158"/>
      <c r="AR122" s="158"/>
      <c r="AS122" s="158"/>
    </row>
    <row r="123" spans="1:45" x14ac:dyDescent="0.35">
      <c r="A123" s="153"/>
      <c r="B123" s="153"/>
      <c r="C123" s="153"/>
      <c r="D123" s="153"/>
      <c r="E123" s="153"/>
      <c r="F123" s="153"/>
      <c r="G123" s="153"/>
      <c r="H123" s="153"/>
      <c r="I123" s="153"/>
      <c r="J123" s="153"/>
      <c r="K123" s="153"/>
      <c r="L123" s="153"/>
      <c r="M123" s="153"/>
      <c r="N123" s="153"/>
      <c r="O123" s="153"/>
      <c r="P123" s="153"/>
    </row>
    <row r="124" spans="1:45" ht="15" customHeight="1" x14ac:dyDescent="0.35">
      <c r="A124" s="155" t="s">
        <v>216</v>
      </c>
      <c r="B124" s="159"/>
      <c r="C124" s="159"/>
      <c r="D124" s="159"/>
      <c r="E124" s="159"/>
      <c r="F124" s="159"/>
      <c r="G124" s="159"/>
      <c r="H124" s="159"/>
      <c r="I124" s="159"/>
      <c r="J124" s="159"/>
      <c r="K124" s="159"/>
      <c r="L124" s="159"/>
      <c r="M124" s="153"/>
      <c r="N124" s="153"/>
      <c r="O124" s="153"/>
      <c r="P124" s="153"/>
    </row>
    <row r="125" spans="1:45" x14ac:dyDescent="0.35">
      <c r="A125" s="153"/>
      <c r="B125" s="153"/>
      <c r="C125" s="153"/>
      <c r="D125" s="317" t="s">
        <v>213</v>
      </c>
      <c r="E125" s="317"/>
      <c r="F125" s="317"/>
      <c r="G125" s="317" t="s">
        <v>214</v>
      </c>
      <c r="H125" s="317"/>
      <c r="I125" s="317"/>
      <c r="J125" s="317" t="s">
        <v>215</v>
      </c>
      <c r="K125" s="317"/>
      <c r="L125" s="317"/>
      <c r="M125" s="153"/>
      <c r="N125" s="153"/>
      <c r="O125" s="153"/>
      <c r="P125" s="153"/>
    </row>
    <row r="126" spans="1:45" x14ac:dyDescent="0.35">
      <c r="A126" s="153"/>
      <c r="B126" s="153"/>
      <c r="C126" s="153"/>
      <c r="D126" s="316">
        <f>+INPUT!$D$118</f>
        <v>0</v>
      </c>
      <c r="E126" s="316"/>
      <c r="F126" s="316"/>
      <c r="G126" s="316">
        <f>INPUT!$E$118</f>
        <v>101549.9088802968</v>
      </c>
      <c r="H126" s="316"/>
      <c r="I126" s="316"/>
      <c r="J126" s="316">
        <f>+INPUT!F118</f>
        <v>18463.619796417599</v>
      </c>
      <c r="K126" s="316"/>
      <c r="L126" s="316"/>
      <c r="M126" s="153"/>
      <c r="N126" s="153"/>
      <c r="O126" s="153"/>
      <c r="P126" s="153"/>
    </row>
    <row r="127" spans="1:45" x14ac:dyDescent="0.35">
      <c r="A127" s="153"/>
      <c r="B127" s="153"/>
      <c r="C127" s="153"/>
      <c r="D127" s="153"/>
      <c r="E127" s="153"/>
      <c r="F127" s="153"/>
      <c r="G127" s="153"/>
      <c r="H127" s="153"/>
      <c r="I127" s="153"/>
      <c r="J127" s="153"/>
      <c r="K127" s="153"/>
      <c r="L127" s="153"/>
      <c r="M127" s="153"/>
      <c r="N127" s="153"/>
      <c r="O127" s="153"/>
      <c r="P127" s="153"/>
    </row>
    <row r="128" spans="1:45" x14ac:dyDescent="0.35">
      <c r="A128" s="153"/>
      <c r="B128" s="153"/>
      <c r="C128" s="153"/>
      <c r="D128" s="153"/>
      <c r="E128" s="153"/>
      <c r="F128" s="153"/>
      <c r="G128" s="153"/>
      <c r="H128" s="153"/>
      <c r="I128" s="153"/>
      <c r="J128" s="153"/>
      <c r="K128" s="153"/>
      <c r="L128" s="153"/>
      <c r="M128" s="153"/>
      <c r="N128" s="153"/>
      <c r="O128" s="153"/>
      <c r="P128" s="153"/>
    </row>
    <row r="129" spans="1:16" x14ac:dyDescent="0.35">
      <c r="A129" s="153"/>
      <c r="B129" s="153"/>
      <c r="C129" s="153"/>
      <c r="D129" s="153"/>
      <c r="E129" s="153"/>
      <c r="F129" s="153"/>
      <c r="G129" s="153"/>
      <c r="H129" s="153"/>
      <c r="I129" s="153"/>
      <c r="J129" s="153"/>
      <c r="K129" s="153"/>
      <c r="L129" s="153"/>
      <c r="M129" s="153"/>
      <c r="N129" s="153"/>
      <c r="O129" s="153"/>
      <c r="P129" s="153"/>
    </row>
    <row r="130" spans="1:16" x14ac:dyDescent="0.35">
      <c r="A130" s="153"/>
      <c r="B130" s="153"/>
      <c r="C130" s="153"/>
      <c r="D130" s="153"/>
      <c r="E130" s="153"/>
      <c r="F130" s="153"/>
      <c r="G130" s="153"/>
      <c r="H130" s="153"/>
      <c r="I130" s="153"/>
      <c r="J130" s="153"/>
      <c r="K130" s="153"/>
      <c r="L130" s="153"/>
      <c r="M130" s="153"/>
      <c r="N130" s="153"/>
      <c r="O130" s="153"/>
      <c r="P130" s="153"/>
    </row>
  </sheetData>
  <mergeCells count="361">
    <mergeCell ref="A1:O1"/>
    <mergeCell ref="A2:O2"/>
    <mergeCell ref="A3:O3"/>
    <mergeCell ref="A4:O4"/>
    <mergeCell ref="A5:O5"/>
    <mergeCell ref="B6:D6"/>
    <mergeCell ref="E6:O6"/>
    <mergeCell ref="B7:D7"/>
    <mergeCell ref="E7:O7"/>
    <mergeCell ref="B8:D8"/>
    <mergeCell ref="E8:O8"/>
    <mergeCell ref="B9:D9"/>
    <mergeCell ref="E9:O9"/>
    <mergeCell ref="B10:D10"/>
    <mergeCell ref="E10:O10"/>
    <mergeCell ref="B11:D11"/>
    <mergeCell ref="E11:O11"/>
    <mergeCell ref="B12:J12"/>
    <mergeCell ref="K12:O12"/>
    <mergeCell ref="B14:J14"/>
    <mergeCell ref="K14:O14"/>
    <mergeCell ref="B15:J15"/>
    <mergeCell ref="K15:O15"/>
    <mergeCell ref="B16:J16"/>
    <mergeCell ref="K16:O16"/>
    <mergeCell ref="B17:J17"/>
    <mergeCell ref="K17:O17"/>
    <mergeCell ref="A19:O19"/>
    <mergeCell ref="E20:O20"/>
    <mergeCell ref="E21:O21"/>
    <mergeCell ref="E23:O23"/>
    <mergeCell ref="E25:O25"/>
    <mergeCell ref="E27:O27"/>
    <mergeCell ref="E29:O29"/>
    <mergeCell ref="I31:J31"/>
    <mergeCell ref="B32:H32"/>
    <mergeCell ref="I32:J32"/>
    <mergeCell ref="B34:H34"/>
    <mergeCell ref="I34:J34"/>
    <mergeCell ref="K34:L34"/>
    <mergeCell ref="M34:N34"/>
    <mergeCell ref="B35:H35"/>
    <mergeCell ref="I35:J35"/>
    <mergeCell ref="K35:L35"/>
    <mergeCell ref="M35:N35"/>
    <mergeCell ref="B36:H36"/>
    <mergeCell ref="I36:J36"/>
    <mergeCell ref="K36:L36"/>
    <mergeCell ref="M36:N36"/>
    <mergeCell ref="B37:H37"/>
    <mergeCell ref="I37:J37"/>
    <mergeCell ref="K37:L37"/>
    <mergeCell ref="M37:N37"/>
    <mergeCell ref="B38:H38"/>
    <mergeCell ref="I38:J38"/>
    <mergeCell ref="K38:L38"/>
    <mergeCell ref="M38:N38"/>
    <mergeCell ref="B41:F41"/>
    <mergeCell ref="G41:H41"/>
    <mergeCell ref="B42:F42"/>
    <mergeCell ref="G42:H42"/>
    <mergeCell ref="B43:F43"/>
    <mergeCell ref="G43:H43"/>
    <mergeCell ref="B44:F44"/>
    <mergeCell ref="G44:H44"/>
    <mergeCell ref="B45:F45"/>
    <mergeCell ref="G45:H45"/>
    <mergeCell ref="B46:F46"/>
    <mergeCell ref="G46:H46"/>
    <mergeCell ref="B47:F47"/>
    <mergeCell ref="G47:H47"/>
    <mergeCell ref="B48:F48"/>
    <mergeCell ref="G48:H48"/>
    <mergeCell ref="G50:L50"/>
    <mergeCell ref="B51:F51"/>
    <mergeCell ref="G51:H51"/>
    <mergeCell ref="I51:J51"/>
    <mergeCell ref="K51:L51"/>
    <mergeCell ref="N51:O51"/>
    <mergeCell ref="Q51:R51"/>
    <mergeCell ref="B52:F52"/>
    <mergeCell ref="G52:H52"/>
    <mergeCell ref="I52:J52"/>
    <mergeCell ref="K52:L52"/>
    <mergeCell ref="N52:O52"/>
    <mergeCell ref="Q52:R52"/>
    <mergeCell ref="B53:F53"/>
    <mergeCell ref="G53:H53"/>
    <mergeCell ref="I53:J53"/>
    <mergeCell ref="K53:L53"/>
    <mergeCell ref="N53:O53"/>
    <mergeCell ref="Q53:R53"/>
    <mergeCell ref="B54:F54"/>
    <mergeCell ref="G54:H54"/>
    <mergeCell ref="I54:J54"/>
    <mergeCell ref="K54:L54"/>
    <mergeCell ref="N54:O54"/>
    <mergeCell ref="Q54:R54"/>
    <mergeCell ref="B55:F55"/>
    <mergeCell ref="G55:H55"/>
    <mergeCell ref="I55:J55"/>
    <mergeCell ref="K55:L55"/>
    <mergeCell ref="N55:O55"/>
    <mergeCell ref="Q55:R55"/>
    <mergeCell ref="B56:F56"/>
    <mergeCell ref="G56:H56"/>
    <mergeCell ref="I56:J56"/>
    <mergeCell ref="K56:L56"/>
    <mergeCell ref="N56:O56"/>
    <mergeCell ref="Q56:R56"/>
    <mergeCell ref="B57:F57"/>
    <mergeCell ref="G57:H57"/>
    <mergeCell ref="I57:J57"/>
    <mergeCell ref="K57:L57"/>
    <mergeCell ref="N57:O57"/>
    <mergeCell ref="Q57:R57"/>
    <mergeCell ref="B58:F58"/>
    <mergeCell ref="G58:H58"/>
    <mergeCell ref="I58:J58"/>
    <mergeCell ref="K58:L58"/>
    <mergeCell ref="N58:O58"/>
    <mergeCell ref="Q58:R58"/>
    <mergeCell ref="B59:F59"/>
    <mergeCell ref="G59:H59"/>
    <mergeCell ref="I59:J59"/>
    <mergeCell ref="K59:L59"/>
    <mergeCell ref="N59:O59"/>
    <mergeCell ref="Q59:R59"/>
    <mergeCell ref="G61:L61"/>
    <mergeCell ref="B62:F62"/>
    <mergeCell ref="G62:H62"/>
    <mergeCell ref="I62:J62"/>
    <mergeCell ref="K62:L62"/>
    <mergeCell ref="N62:O62"/>
    <mergeCell ref="Q62:R62"/>
    <mergeCell ref="B63:F63"/>
    <mergeCell ref="G63:H63"/>
    <mergeCell ref="I63:J63"/>
    <mergeCell ref="K63:L63"/>
    <mergeCell ref="N63:O63"/>
    <mergeCell ref="Q63:R63"/>
    <mergeCell ref="B64:F64"/>
    <mergeCell ref="G64:H64"/>
    <mergeCell ref="I64:J64"/>
    <mergeCell ref="K64:L64"/>
    <mergeCell ref="N64:O64"/>
    <mergeCell ref="Q64:R64"/>
    <mergeCell ref="B65:F65"/>
    <mergeCell ref="G65:H65"/>
    <mergeCell ref="I65:J65"/>
    <mergeCell ref="K65:L65"/>
    <mergeCell ref="N65:O65"/>
    <mergeCell ref="Q65:R65"/>
    <mergeCell ref="B66:F66"/>
    <mergeCell ref="G66:H66"/>
    <mergeCell ref="I66:J66"/>
    <mergeCell ref="K66:L66"/>
    <mergeCell ref="N66:O66"/>
    <mergeCell ref="Q66:R66"/>
    <mergeCell ref="B67:F67"/>
    <mergeCell ref="G67:H67"/>
    <mergeCell ref="I67:J67"/>
    <mergeCell ref="K67:L67"/>
    <mergeCell ref="N67:O67"/>
    <mergeCell ref="Q67:R67"/>
    <mergeCell ref="B68:F68"/>
    <mergeCell ref="G68:H68"/>
    <mergeCell ref="I68:J68"/>
    <mergeCell ref="K68:L68"/>
    <mergeCell ref="N68:O68"/>
    <mergeCell ref="Q68:R68"/>
    <mergeCell ref="B69:F69"/>
    <mergeCell ref="G69:H69"/>
    <mergeCell ref="I69:J69"/>
    <mergeCell ref="K69:L69"/>
    <mergeCell ref="N69:O69"/>
    <mergeCell ref="Q69:R69"/>
    <mergeCell ref="B70:F70"/>
    <mergeCell ref="G70:H70"/>
    <mergeCell ref="I70:J70"/>
    <mergeCell ref="K70:L70"/>
    <mergeCell ref="N70:O70"/>
    <mergeCell ref="Q70:R70"/>
    <mergeCell ref="G72:L72"/>
    <mergeCell ref="B73:F73"/>
    <mergeCell ref="G73:H73"/>
    <mergeCell ref="I73:J73"/>
    <mergeCell ref="K73:L73"/>
    <mergeCell ref="N73:O73"/>
    <mergeCell ref="Q73:R73"/>
    <mergeCell ref="B74:F74"/>
    <mergeCell ref="G74:H74"/>
    <mergeCell ref="I74:J74"/>
    <mergeCell ref="K74:L74"/>
    <mergeCell ref="N74:O74"/>
    <mergeCell ref="Q74:R74"/>
    <mergeCell ref="B75:F75"/>
    <mergeCell ref="G75:H75"/>
    <mergeCell ref="I75:J75"/>
    <mergeCell ref="K75:L75"/>
    <mergeCell ref="N75:O75"/>
    <mergeCell ref="Q75:R75"/>
    <mergeCell ref="B76:F76"/>
    <mergeCell ref="G76:H76"/>
    <mergeCell ref="I76:J76"/>
    <mergeCell ref="K76:L76"/>
    <mergeCell ref="N76:O76"/>
    <mergeCell ref="Q76:R76"/>
    <mergeCell ref="B77:F77"/>
    <mergeCell ref="G77:H77"/>
    <mergeCell ref="I77:J77"/>
    <mergeCell ref="K77:L77"/>
    <mergeCell ref="N77:O77"/>
    <mergeCell ref="Q77:R77"/>
    <mergeCell ref="B78:F78"/>
    <mergeCell ref="G78:H78"/>
    <mergeCell ref="I78:J78"/>
    <mergeCell ref="K78:L78"/>
    <mergeCell ref="N78:O78"/>
    <mergeCell ref="Q78:R78"/>
    <mergeCell ref="B79:F79"/>
    <mergeCell ref="G79:H79"/>
    <mergeCell ref="I79:J79"/>
    <mergeCell ref="K79:L79"/>
    <mergeCell ref="N79:O79"/>
    <mergeCell ref="Q79:R79"/>
    <mergeCell ref="B80:F80"/>
    <mergeCell ref="G80:H80"/>
    <mergeCell ref="I80:J80"/>
    <mergeCell ref="K80:L80"/>
    <mergeCell ref="N80:O80"/>
    <mergeCell ref="Q80:R80"/>
    <mergeCell ref="B81:F81"/>
    <mergeCell ref="G81:H81"/>
    <mergeCell ref="I81:J81"/>
    <mergeCell ref="K81:L81"/>
    <mergeCell ref="N81:O81"/>
    <mergeCell ref="Q81:R81"/>
    <mergeCell ref="G83:L83"/>
    <mergeCell ref="B84:F84"/>
    <mergeCell ref="G84:H84"/>
    <mergeCell ref="I84:J84"/>
    <mergeCell ref="K84:L84"/>
    <mergeCell ref="N84:O84"/>
    <mergeCell ref="Q84:R84"/>
    <mergeCell ref="B85:F85"/>
    <mergeCell ref="G85:H85"/>
    <mergeCell ref="I85:J85"/>
    <mergeCell ref="K85:L85"/>
    <mergeCell ref="N85:O85"/>
    <mergeCell ref="Q85:R85"/>
    <mergeCell ref="B86:F86"/>
    <mergeCell ref="G86:H86"/>
    <mergeCell ref="I86:J86"/>
    <mergeCell ref="K86:L86"/>
    <mergeCell ref="N86:O86"/>
    <mergeCell ref="Q86:R86"/>
    <mergeCell ref="B87:F87"/>
    <mergeCell ref="G87:H87"/>
    <mergeCell ref="I87:J87"/>
    <mergeCell ref="K87:L87"/>
    <mergeCell ref="N87:O87"/>
    <mergeCell ref="Q87:R87"/>
    <mergeCell ref="B88:F88"/>
    <mergeCell ref="G88:H88"/>
    <mergeCell ref="I88:J88"/>
    <mergeCell ref="K88:L88"/>
    <mergeCell ref="N88:O88"/>
    <mergeCell ref="Q88:R88"/>
    <mergeCell ref="B89:F89"/>
    <mergeCell ref="G89:H89"/>
    <mergeCell ref="I89:J89"/>
    <mergeCell ref="K89:L89"/>
    <mergeCell ref="N89:O89"/>
    <mergeCell ref="Q89:R89"/>
    <mergeCell ref="B90:F90"/>
    <mergeCell ref="G90:H90"/>
    <mergeCell ref="I90:J90"/>
    <mergeCell ref="K90:L90"/>
    <mergeCell ref="N90:O90"/>
    <mergeCell ref="Q90:R90"/>
    <mergeCell ref="B91:F91"/>
    <mergeCell ref="G91:H91"/>
    <mergeCell ref="I91:J91"/>
    <mergeCell ref="K91:L91"/>
    <mergeCell ref="N91:O91"/>
    <mergeCell ref="Q91:R91"/>
    <mergeCell ref="B92:F92"/>
    <mergeCell ref="G92:H92"/>
    <mergeCell ref="I92:J92"/>
    <mergeCell ref="K92:L92"/>
    <mergeCell ref="N92:O92"/>
    <mergeCell ref="Q92:R92"/>
    <mergeCell ref="A95:O95"/>
    <mergeCell ref="A96:F96"/>
    <mergeCell ref="H96:K96"/>
    <mergeCell ref="L96:O96"/>
    <mergeCell ref="B97:G97"/>
    <mergeCell ref="H97:K97"/>
    <mergeCell ref="L97:O97"/>
    <mergeCell ref="B98:G98"/>
    <mergeCell ref="H98:K98"/>
    <mergeCell ref="L98:O98"/>
    <mergeCell ref="B99:G99"/>
    <mergeCell ref="H99:K99"/>
    <mergeCell ref="L99:O99"/>
    <mergeCell ref="B100:G100"/>
    <mergeCell ref="H100:K100"/>
    <mergeCell ref="L100:O100"/>
    <mergeCell ref="B101:G101"/>
    <mergeCell ref="H101:K101"/>
    <mergeCell ref="L101:O101"/>
    <mergeCell ref="B102:G102"/>
    <mergeCell ref="H102:K102"/>
    <mergeCell ref="L102:O102"/>
    <mergeCell ref="B103:G103"/>
    <mergeCell ref="H103:K103"/>
    <mergeCell ref="L103:O103"/>
    <mergeCell ref="B104:G104"/>
    <mergeCell ref="H104:K104"/>
    <mergeCell ref="L104:O104"/>
    <mergeCell ref="B105:G105"/>
    <mergeCell ref="H105:K105"/>
    <mergeCell ref="L105:O105"/>
    <mergeCell ref="B106:G106"/>
    <mergeCell ref="H106:K106"/>
    <mergeCell ref="L106:O106"/>
    <mergeCell ref="B107:G107"/>
    <mergeCell ref="H107:K107"/>
    <mergeCell ref="L107:O107"/>
    <mergeCell ref="B108:G108"/>
    <mergeCell ref="H108:K108"/>
    <mergeCell ref="L108:O108"/>
    <mergeCell ref="B109:G109"/>
    <mergeCell ref="H109:K109"/>
    <mergeCell ref="L109:O109"/>
    <mergeCell ref="B110:G110"/>
    <mergeCell ref="H110:K110"/>
    <mergeCell ref="L110:O110"/>
    <mergeCell ref="A112:O112"/>
    <mergeCell ref="L113:O113"/>
    <mergeCell ref="A114:K114"/>
    <mergeCell ref="L114:O114"/>
    <mergeCell ref="A115:K115"/>
    <mergeCell ref="L115:O115"/>
    <mergeCell ref="A116:K116"/>
    <mergeCell ref="L116:O116"/>
    <mergeCell ref="A117:K117"/>
    <mergeCell ref="L117:O117"/>
    <mergeCell ref="D121:F121"/>
    <mergeCell ref="G121:I121"/>
    <mergeCell ref="J121:L121"/>
    <mergeCell ref="D122:F122"/>
    <mergeCell ref="G122:I122"/>
    <mergeCell ref="J122:L122"/>
    <mergeCell ref="D125:F125"/>
    <mergeCell ref="G125:I125"/>
    <mergeCell ref="J125:L125"/>
    <mergeCell ref="D126:F126"/>
    <mergeCell ref="G126:I126"/>
    <mergeCell ref="J126:L126"/>
  </mergeCells>
  <conditionalFormatting sqref="H104:K105">
    <cfRule type="expression" dxfId="7" priority="2">
      <formula>BA104="percentuale"</formula>
    </cfRule>
  </conditionalFormatting>
  <conditionalFormatting sqref="H103:K103">
    <cfRule type="expression" dxfId="6" priority="3">
      <formula>BA103="percentuale"</formula>
    </cfRule>
  </conditionalFormatting>
  <conditionalFormatting sqref="H97:K102">
    <cfRule type="expression" dxfId="5" priority="4">
      <formula>BA97="percentuale"</formula>
    </cfRule>
  </conditionalFormatting>
  <conditionalFormatting sqref="H106:K106">
    <cfRule type="expression" dxfId="4" priority="5">
      <formula>BA106="percentuale"</formula>
    </cfRule>
  </conditionalFormatting>
  <pageMargins left="0.70833333333333304" right="0.70833333333333304" top="1.02847222222222" bottom="0.74861111111111101" header="0.51180555555555496" footer="0.31527777777777799"/>
  <pageSetup paperSize="9" scale="75" firstPageNumber="0" orientation="landscape" horizontalDpi="300" verticalDpi="300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"/>
  <sheetViews>
    <sheetView zoomScaleNormal="100" workbookViewId="0">
      <selection activeCell="I17" sqref="I17"/>
    </sheetView>
  </sheetViews>
  <sheetFormatPr defaultColWidth="9.26953125" defaultRowHeight="14.5" x14ac:dyDescent="0.35"/>
  <cols>
    <col min="1" max="3" width="10.453125" customWidth="1"/>
    <col min="9" max="12" width="22.1796875" customWidth="1"/>
  </cols>
  <sheetData>
    <row r="1" spans="1:13" x14ac:dyDescent="0.35">
      <c r="D1" s="160" t="s">
        <v>217</v>
      </c>
      <c r="E1" s="347" t="s">
        <v>218</v>
      </c>
      <c r="F1" s="347"/>
      <c r="G1" s="347"/>
      <c r="H1" s="347"/>
      <c r="I1" s="347" t="s">
        <v>219</v>
      </c>
      <c r="J1" s="347"/>
      <c r="K1" s="347"/>
      <c r="L1" s="347"/>
      <c r="M1" s="160" t="s">
        <v>217</v>
      </c>
    </row>
    <row r="2" spans="1:13" x14ac:dyDescent="0.35">
      <c r="A2" s="13" t="s">
        <v>220</v>
      </c>
      <c r="B2" s="13" t="s">
        <v>221</v>
      </c>
      <c r="C2" s="162" t="s">
        <v>222</v>
      </c>
      <c r="D2" s="163">
        <v>2022</v>
      </c>
      <c r="E2" s="164" t="s">
        <v>223</v>
      </c>
      <c r="F2" s="13" t="s">
        <v>224</v>
      </c>
      <c r="G2" s="13" t="s">
        <v>225</v>
      </c>
      <c r="H2" s="165" t="s">
        <v>226</v>
      </c>
      <c r="I2" s="164" t="s">
        <v>227</v>
      </c>
      <c r="J2" s="13" t="s">
        <v>228</v>
      </c>
      <c r="K2" s="13" t="s">
        <v>229</v>
      </c>
      <c r="L2" s="165" t="s">
        <v>230</v>
      </c>
      <c r="M2" s="163">
        <v>2023</v>
      </c>
    </row>
    <row r="3" spans="1:13" x14ac:dyDescent="0.35">
      <c r="A3" s="166">
        <v>1</v>
      </c>
      <c r="B3" s="166" t="str">
        <f>+'SCHEDA DI INTERVENTO'!E6</f>
        <v>sostegno alla gestione sezione primavera</v>
      </c>
      <c r="C3" s="167" t="str">
        <f>+'SCHEDA DI INTERVENTO'!A3</f>
        <v>Nido / Micro-nido</v>
      </c>
      <c r="D3" s="168"/>
      <c r="E3" s="169">
        <f t="array" ref="E3">+SUMPRODUCT('SCHEDA DI INTERVENTO'!$G$52:$H$58,IF('SCHEDA DI INTERVENTO'!$N$52:$O$58&gt;0,1,0))</f>
        <v>0</v>
      </c>
      <c r="F3" s="170">
        <f t="array" ref="F3">+SUMPRODUCT('SCHEDA DI INTERVENTO'!$G$63:$H$69,IF('SCHEDA DI INTERVENTO'!$N$63:$O$69&gt;0,1,0))</f>
        <v>20</v>
      </c>
      <c r="G3" s="170">
        <f t="array" ref="G3">+SUMPRODUCT('SCHEDA DI INTERVENTO'!$G$85:$H$91,IF('SCHEDA DI INTERVENTO'!$N$85:$O$91&gt;0,1,0))</f>
        <v>0</v>
      </c>
      <c r="H3" s="171">
        <f t="array" ref="H3">+SUMPRODUCT('SCHEDA DI INTERVENTO'!$G$74:$H$80,IF('SCHEDA DI INTERVENTO'!$N$74:$O$80&gt;0,1,0))</f>
        <v>0</v>
      </c>
      <c r="I3" s="172">
        <f>+'SCHEDA DI INTERVENTO'!$Q$59</f>
        <v>0</v>
      </c>
      <c r="J3" s="173">
        <f>+'SCHEDA DI INTERVENTO'!$Q$70</f>
        <v>120013.5286767144</v>
      </c>
      <c r="K3" s="173">
        <f>+'SCHEDA DI INTERVENTO'!$Q$92</f>
        <v>0</v>
      </c>
      <c r="L3" s="174">
        <f>+'SCHEDA DI INTERVENTO'!$Q$81</f>
        <v>0</v>
      </c>
      <c r="M3" s="174"/>
    </row>
  </sheetData>
  <sheetProtection sheet="1" objects="1" scenarios="1"/>
  <mergeCells count="2">
    <mergeCell ref="E1:H1"/>
    <mergeCell ref="I1:L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8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18.54296875" customWidth="1"/>
    <col min="6" max="6" width="16.453125" customWidth="1"/>
    <col min="7" max="7" width="14.453125" customWidth="1"/>
    <col min="8" max="8" width="19" customWidth="1"/>
  </cols>
  <sheetData>
    <row r="1" spans="1:22" x14ac:dyDescent="0.35">
      <c r="A1" t="s">
        <v>231</v>
      </c>
      <c r="B1" t="s">
        <v>232</v>
      </c>
      <c r="F1" t="s">
        <v>233</v>
      </c>
      <c r="G1" t="s">
        <v>234</v>
      </c>
      <c r="H1" t="s">
        <v>235</v>
      </c>
      <c r="K1" s="175" t="s">
        <v>236</v>
      </c>
      <c r="L1" s="176"/>
      <c r="N1" t="s">
        <v>237</v>
      </c>
      <c r="O1" t="s">
        <v>238</v>
      </c>
      <c r="S1" t="s">
        <v>239</v>
      </c>
    </row>
    <row r="2" spans="1:22" x14ac:dyDescent="0.35">
      <c r="A2" t="s">
        <v>240</v>
      </c>
      <c r="B2" s="177">
        <f t="shared" ref="B2:B18" si="0">+SUMPRODUCT(($S$2:$V$2=$N$2)*$S6:$V6)</f>
        <v>15.72</v>
      </c>
      <c r="D2" t="s">
        <v>240</v>
      </c>
      <c r="F2" t="s">
        <v>241</v>
      </c>
      <c r="G2" s="177">
        <f t="shared" ref="G2:G24" si="1">+O6</f>
        <v>25.06</v>
      </c>
      <c r="H2" s="177">
        <f t="shared" ref="H2:H24" si="2">+P6</f>
        <v>26.76</v>
      </c>
      <c r="K2" s="178" t="str">
        <f>+IF(INPUT!$C$26=INPUT!$C$198,'CCNL-appoggio'!A2,IF(INPUT!$C$26=INPUT!$C$199,'CCNL-appoggio'!F2,'CCNL-appoggio'!F2))</f>
        <v>A1</v>
      </c>
      <c r="L2" s="179">
        <f>+IF(INPUT!$C$26=INPUT!$C$198,'CCNL-appoggio'!B2,IF(INPUT!$C$26=INPUT!$C$199,'CCNL-appoggio'!G2,'CCNL-appoggio'!H2))</f>
        <v>15.72</v>
      </c>
      <c r="N2" s="153" t="str">
        <f>+INPUT!C27</f>
        <v>da settembre 2020</v>
      </c>
      <c r="O2" s="118" t="s">
        <v>242</v>
      </c>
      <c r="S2" s="118" t="s">
        <v>242</v>
      </c>
      <c r="T2" s="118" t="s">
        <v>243</v>
      </c>
      <c r="U2" s="118" t="s">
        <v>244</v>
      </c>
      <c r="V2" s="118" t="s">
        <v>37</v>
      </c>
    </row>
    <row r="3" spans="1:22" x14ac:dyDescent="0.35">
      <c r="A3" t="s">
        <v>245</v>
      </c>
      <c r="B3" s="177">
        <f t="shared" si="0"/>
        <v>15.92</v>
      </c>
      <c r="D3" t="s">
        <v>245</v>
      </c>
      <c r="F3" t="s">
        <v>246</v>
      </c>
      <c r="G3" s="177">
        <f t="shared" si="1"/>
        <v>23.44</v>
      </c>
      <c r="H3" s="177">
        <f t="shared" si="2"/>
        <v>25.03</v>
      </c>
      <c r="K3" s="178" t="str">
        <f>+IF(INPUT!$C$26=INPUT!$C$198,'CCNL-appoggio'!A3,IF(INPUT!$C$26=INPUT!$C$199,'CCNL-appoggio'!F3,'CCNL-appoggio'!F3))</f>
        <v>A2</v>
      </c>
      <c r="L3" s="179">
        <f>+IF(INPUT!$C$26=INPUT!$C$198,'CCNL-appoggio'!B3,IF(INPUT!$C$26=INPUT!$C$199,'CCNL-appoggio'!G3,'CCNL-appoggio'!H3))</f>
        <v>15.92</v>
      </c>
      <c r="O3" s="118" t="s">
        <v>146</v>
      </c>
    </row>
    <row r="4" spans="1:22" x14ac:dyDescent="0.35">
      <c r="A4" t="s">
        <v>247</v>
      </c>
      <c r="B4" s="177">
        <f t="shared" si="0"/>
        <v>16.73</v>
      </c>
      <c r="D4" t="s">
        <v>247</v>
      </c>
      <c r="F4" t="s">
        <v>248</v>
      </c>
      <c r="G4" s="177">
        <f t="shared" si="1"/>
        <v>22.44</v>
      </c>
      <c r="H4" s="177">
        <f t="shared" si="2"/>
        <v>23.96</v>
      </c>
      <c r="K4" s="178" t="str">
        <f>+IF(INPUT!$C$26=INPUT!$C$198,'CCNL-appoggio'!A4,IF(INPUT!$C$26=INPUT!$C$199,'CCNL-appoggio'!F4,'CCNL-appoggio'!F4))</f>
        <v>B1</v>
      </c>
      <c r="L4" s="179">
        <f>+IF(INPUT!$C$26=INPUT!$C$198,'CCNL-appoggio'!B4,IF(INPUT!$C$26=INPUT!$C$199,'CCNL-appoggio'!G4,'CCNL-appoggio'!H4))</f>
        <v>16.73</v>
      </c>
    </row>
    <row r="5" spans="1:22" x14ac:dyDescent="0.35">
      <c r="A5" t="s">
        <v>249</v>
      </c>
      <c r="B5" s="177">
        <f t="shared" si="0"/>
        <v>0</v>
      </c>
      <c r="D5" t="s">
        <v>250</v>
      </c>
      <c r="F5" t="s">
        <v>251</v>
      </c>
      <c r="G5" s="177">
        <f t="shared" si="1"/>
        <v>21.52</v>
      </c>
      <c r="H5" s="177">
        <f t="shared" si="2"/>
        <v>22.98</v>
      </c>
      <c r="K5" s="178" t="str">
        <f>+IF(INPUT!$C$26=INPUT!$C$198,'CCNL-appoggio'!A5,IF(INPUT!$C$26=INPUT!$C$199,'CCNL-appoggio'!F5,'CCNL-appoggio'!F5))</f>
        <v>B1 con i.f.</v>
      </c>
      <c r="L5" s="179">
        <f>+IF(INPUT!$C$26=INPUT!$C$198,'CCNL-appoggio'!B5,IF(INPUT!$C$26=INPUT!$C$199,'CCNL-appoggio'!G5,'CCNL-appoggio'!H5))</f>
        <v>0</v>
      </c>
      <c r="O5" t="s">
        <v>252</v>
      </c>
      <c r="P5" t="s">
        <v>253</v>
      </c>
    </row>
    <row r="6" spans="1:22" x14ac:dyDescent="0.35">
      <c r="A6" t="s">
        <v>250</v>
      </c>
      <c r="B6" s="177">
        <f t="shared" si="0"/>
        <v>18.02</v>
      </c>
      <c r="D6" t="s">
        <v>254</v>
      </c>
      <c r="F6" t="s">
        <v>255</v>
      </c>
      <c r="G6" s="177">
        <f t="shared" si="1"/>
        <v>19.63</v>
      </c>
      <c r="H6" s="177">
        <f t="shared" si="2"/>
        <v>20.97</v>
      </c>
      <c r="K6" s="178" t="str">
        <f>+IF(INPUT!$C$26=INPUT!$C$198,'CCNL-appoggio'!A6,IF(INPUT!$C$26=INPUT!$C$199,'CCNL-appoggio'!F6,'CCNL-appoggio'!F6))</f>
        <v>C1</v>
      </c>
      <c r="L6" s="179">
        <f>+IF(INPUT!$C$26=INPUT!$C$198,'CCNL-appoggio'!B6,IF(INPUT!$C$26=INPUT!$C$199,'CCNL-appoggio'!G6,'CCNL-appoggio'!H6))</f>
        <v>18.02</v>
      </c>
      <c r="N6" t="s">
        <v>241</v>
      </c>
      <c r="O6" s="153">
        <f t="array" ref="O6:O28">+IF($N$2=$O$2,('CCNL EELL'!$J$6:$J$28), ('CCNL EELL 2018'!$J$6:$J$28))</f>
        <v>25.06</v>
      </c>
      <c r="P6" s="153">
        <f t="array" ref="P6:P28">+IF($N$2=$O$2,('CCNL EELL'!$K$6:$K$28), ('CCNL EELL 2018'!$K$6:$K$28))</f>
        <v>26.76</v>
      </c>
      <c r="R6" t="s">
        <v>240</v>
      </c>
      <c r="S6" s="153">
        <f t="array" ref="S6:S22">+TRANSPOSE(ROUND('CCNL cooperative'!B39:R39,2))</f>
        <v>14.7</v>
      </c>
      <c r="T6" s="153">
        <f t="array" ref="T6:T22">+TRANSPOSE(ROUND('CCNL cooperative (11-19)'!B40:R40,2))</f>
        <v>15.26</v>
      </c>
      <c r="U6" s="153">
        <f t="array" ref="U6:U22">+TRANSPOSE(ROUND('CCNL cooperative (4-20)'!B40:R40,2))</f>
        <v>15.5</v>
      </c>
      <c r="V6" s="153">
        <f t="array" ref="V6:V22">+TRANSPOSE(ROUND('CCNL cooperative (9-20)'!B40:R40,2))</f>
        <v>15.72</v>
      </c>
    </row>
    <row r="7" spans="1:22" x14ac:dyDescent="0.35">
      <c r="A7" t="s">
        <v>254</v>
      </c>
      <c r="B7" s="177">
        <f t="shared" si="0"/>
        <v>18.57</v>
      </c>
      <c r="D7" t="s">
        <v>256</v>
      </c>
      <c r="F7" t="s">
        <v>257</v>
      </c>
      <c r="G7" s="177">
        <f t="shared" si="1"/>
        <v>18.72</v>
      </c>
      <c r="H7" s="177">
        <f t="shared" si="2"/>
        <v>19.989999999999998</v>
      </c>
      <c r="K7" s="178" t="str">
        <f>+IF(INPUT!$C$26=INPUT!$C$198,'CCNL-appoggio'!A7,IF(INPUT!$C$26=INPUT!$C$199,'CCNL-appoggio'!F7,'CCNL-appoggio'!F7))</f>
        <v>C2</v>
      </c>
      <c r="L7" s="179">
        <f>+IF(INPUT!$C$26=INPUT!$C$198,'CCNL-appoggio'!B7,IF(INPUT!$C$26=INPUT!$C$199,'CCNL-appoggio'!G7,'CCNL-appoggio'!H7))</f>
        <v>18.57</v>
      </c>
      <c r="N7" t="s">
        <v>246</v>
      </c>
      <c r="O7" s="153">
        <v>23.44</v>
      </c>
      <c r="P7" s="153">
        <v>25.03</v>
      </c>
      <c r="R7" t="s">
        <v>245</v>
      </c>
      <c r="S7" s="153">
        <v>14.9</v>
      </c>
      <c r="T7" s="153">
        <v>15.46</v>
      </c>
      <c r="U7" s="153">
        <v>15.71</v>
      </c>
      <c r="V7" s="153">
        <v>15.92</v>
      </c>
    </row>
    <row r="8" spans="1:22" x14ac:dyDescent="0.35">
      <c r="A8" t="s">
        <v>256</v>
      </c>
      <c r="B8" s="177">
        <f t="shared" si="0"/>
        <v>19.13</v>
      </c>
      <c r="D8" t="s">
        <v>255</v>
      </c>
      <c r="F8" t="s">
        <v>258</v>
      </c>
      <c r="G8" s="177">
        <f t="shared" si="1"/>
        <v>19.37</v>
      </c>
      <c r="H8" s="177">
        <f t="shared" si="2"/>
        <v>20.68</v>
      </c>
      <c r="K8" s="178" t="str">
        <f>+IF(INPUT!$C$26=INPUT!$C$198,'CCNL-appoggio'!A8,IF(INPUT!$C$26=INPUT!$C$199,'CCNL-appoggio'!F8,'CCNL-appoggio'!F8))</f>
        <v>C3/D1</v>
      </c>
      <c r="L8" s="179">
        <f>+IF(INPUT!$C$26=INPUT!$C$198,'CCNL-appoggio'!B8,IF(INPUT!$C$26=INPUT!$C$199,'CCNL-appoggio'!G8,'CCNL-appoggio'!H8))</f>
        <v>19.13</v>
      </c>
      <c r="N8" t="s">
        <v>248</v>
      </c>
      <c r="O8" s="153">
        <v>22.44</v>
      </c>
      <c r="P8" s="153">
        <v>23.96</v>
      </c>
      <c r="R8" t="s">
        <v>247</v>
      </c>
      <c r="S8" s="153">
        <v>15.67</v>
      </c>
      <c r="T8" s="153">
        <v>16.25</v>
      </c>
      <c r="U8" s="153">
        <v>16.510000000000002</v>
      </c>
      <c r="V8" s="153">
        <v>16.73</v>
      </c>
    </row>
    <row r="9" spans="1:22" x14ac:dyDescent="0.35">
      <c r="A9" t="s">
        <v>259</v>
      </c>
      <c r="B9" s="177">
        <f t="shared" si="0"/>
        <v>19.86</v>
      </c>
      <c r="D9" t="s">
        <v>260</v>
      </c>
      <c r="F9" t="s">
        <v>261</v>
      </c>
      <c r="G9" s="177">
        <f t="shared" si="1"/>
        <v>18.68</v>
      </c>
      <c r="H9" s="177">
        <f t="shared" si="2"/>
        <v>19.940000000000001</v>
      </c>
      <c r="K9" s="178" t="str">
        <f>+IF(INPUT!$C$26=INPUT!$C$198,'CCNL-appoggio'!A9,IF(INPUT!$C$26=INPUT!$C$199,'CCNL-appoggio'!F9,'CCNL-appoggio'!F9))</f>
        <v>C3/D1 con i.p.</v>
      </c>
      <c r="L9" s="179">
        <f>+IF(INPUT!$C$26=INPUT!$C$198,'CCNL-appoggio'!B9,IF(INPUT!$C$26=INPUT!$C$199,'CCNL-appoggio'!G9,'CCNL-appoggio'!H9))</f>
        <v>19.86</v>
      </c>
      <c r="N9" t="s">
        <v>251</v>
      </c>
      <c r="O9" s="153">
        <v>21.52</v>
      </c>
      <c r="P9" s="153">
        <v>22.98</v>
      </c>
      <c r="R9" t="s">
        <v>249</v>
      </c>
      <c r="S9" s="153">
        <v>16.21</v>
      </c>
      <c r="T9" s="153">
        <v>0</v>
      </c>
      <c r="U9" s="153">
        <v>0</v>
      </c>
      <c r="V9" s="153">
        <v>0</v>
      </c>
    </row>
    <row r="10" spans="1:22" x14ac:dyDescent="0.35">
      <c r="A10" t="s">
        <v>255</v>
      </c>
      <c r="B10" s="177">
        <f t="shared" si="0"/>
        <v>20.22</v>
      </c>
      <c r="D10" t="s">
        <v>262</v>
      </c>
      <c r="F10" t="s">
        <v>263</v>
      </c>
      <c r="G10" s="177">
        <f t="shared" si="1"/>
        <v>18.100000000000001</v>
      </c>
      <c r="H10" s="177">
        <f t="shared" si="2"/>
        <v>19.329999999999998</v>
      </c>
      <c r="K10" s="178" t="str">
        <f>+IF(INPUT!$C$26=INPUT!$C$198,'CCNL-appoggio'!A10,IF(INPUT!$C$26=INPUT!$C$199,'CCNL-appoggio'!F10,'CCNL-appoggio'!F10))</f>
        <v>D2</v>
      </c>
      <c r="L10" s="179">
        <f>+IF(INPUT!$C$26=INPUT!$C$198,'CCNL-appoggio'!B10,IF(INPUT!$C$26=INPUT!$C$199,'CCNL-appoggio'!G10,'CCNL-appoggio'!H10))</f>
        <v>20.22</v>
      </c>
      <c r="N10" t="s">
        <v>255</v>
      </c>
      <c r="O10" s="153">
        <v>19.63</v>
      </c>
      <c r="P10" s="153">
        <v>20.97</v>
      </c>
      <c r="R10" t="s">
        <v>250</v>
      </c>
      <c r="S10" s="153">
        <v>16.89</v>
      </c>
      <c r="T10" s="153">
        <v>17.5</v>
      </c>
      <c r="U10" s="153">
        <v>17.78</v>
      </c>
      <c r="V10" s="153">
        <v>18.02</v>
      </c>
    </row>
    <row r="11" spans="1:22" x14ac:dyDescent="0.35">
      <c r="A11" t="s">
        <v>264</v>
      </c>
      <c r="B11" s="177">
        <f t="shared" si="0"/>
        <v>22.04</v>
      </c>
      <c r="C11" s="180"/>
      <c r="D11" t="s">
        <v>265</v>
      </c>
      <c r="F11" t="s">
        <v>254</v>
      </c>
      <c r="G11" s="177">
        <f t="shared" si="1"/>
        <v>17.61</v>
      </c>
      <c r="H11" s="177">
        <f t="shared" si="2"/>
        <v>18.809999999999999</v>
      </c>
      <c r="K11" s="178" t="str">
        <f>+IF(INPUT!$C$26=INPUT!$C$198,'CCNL-appoggio'!A11,IF(INPUT!$C$26=INPUT!$C$199,'CCNL-appoggio'!F11,'CCNL-appoggio'!F11))</f>
        <v>D2 con i.p.</v>
      </c>
      <c r="L11" s="179">
        <f>+IF(INPUT!$C$26=INPUT!$C$198,'CCNL-appoggio'!B11,IF(INPUT!$C$26=INPUT!$C$199,'CCNL-appoggio'!G11,'CCNL-appoggio'!H11))</f>
        <v>22.04</v>
      </c>
      <c r="N11" t="s">
        <v>257</v>
      </c>
      <c r="O11" s="153">
        <v>18.72</v>
      </c>
      <c r="P11" s="153">
        <v>19.989999999999998</v>
      </c>
      <c r="R11" t="s">
        <v>254</v>
      </c>
      <c r="S11" s="153">
        <v>17.41</v>
      </c>
      <c r="T11" s="153">
        <v>18.03</v>
      </c>
      <c r="U11" s="153">
        <v>18.32</v>
      </c>
      <c r="V11" s="153">
        <v>18.57</v>
      </c>
    </row>
    <row r="12" spans="1:22" x14ac:dyDescent="0.35">
      <c r="A12" t="s">
        <v>260</v>
      </c>
      <c r="B12" s="177">
        <f t="shared" si="0"/>
        <v>21.59</v>
      </c>
      <c r="D12" t="s">
        <v>266</v>
      </c>
      <c r="F12" t="s">
        <v>250</v>
      </c>
      <c r="G12" s="177">
        <f t="shared" si="1"/>
        <v>17.2</v>
      </c>
      <c r="H12" s="177">
        <f t="shared" si="2"/>
        <v>18.37</v>
      </c>
      <c r="K12" s="178" t="str">
        <f>+IF(INPUT!$C$26=INPUT!$C$198,'CCNL-appoggio'!A12,IF(INPUT!$C$26=INPUT!$C$199,'CCNL-appoggio'!F12,'CCNL-appoggio'!F12))</f>
        <v>D3/E1</v>
      </c>
      <c r="L12" s="179">
        <f>+IF(INPUT!$C$26=INPUT!$C$198,'CCNL-appoggio'!B12,IF(INPUT!$C$26=INPUT!$C$199,'CCNL-appoggio'!G12,'CCNL-appoggio'!H12))</f>
        <v>21.59</v>
      </c>
      <c r="N12" t="s">
        <v>258</v>
      </c>
      <c r="O12" s="153">
        <v>19.37</v>
      </c>
      <c r="P12" s="153">
        <v>20.68</v>
      </c>
      <c r="R12" t="s">
        <v>256</v>
      </c>
      <c r="S12" s="153">
        <v>17.940000000000001</v>
      </c>
      <c r="T12" s="153">
        <v>18.579999999999998</v>
      </c>
      <c r="U12" s="153">
        <v>18.87</v>
      </c>
      <c r="V12" s="153">
        <v>19.13</v>
      </c>
    </row>
    <row r="13" spans="1:22" x14ac:dyDescent="0.35">
      <c r="A13" t="s">
        <v>262</v>
      </c>
      <c r="B13" s="177">
        <f t="shared" si="0"/>
        <v>24.29</v>
      </c>
      <c r="F13" t="s">
        <v>267</v>
      </c>
      <c r="G13" s="177">
        <f t="shared" si="1"/>
        <v>17.579999999999998</v>
      </c>
      <c r="H13" s="177">
        <f t="shared" si="2"/>
        <v>18.77</v>
      </c>
      <c r="K13" s="178" t="str">
        <f>+IF(INPUT!$C$26=INPUT!$C$198,'CCNL-appoggio'!A13,IF(INPUT!$C$26=INPUT!$C$199,'CCNL-appoggio'!F13,'CCNL-appoggio'!F13))</f>
        <v>E2</v>
      </c>
      <c r="L13" s="179">
        <f>+IF(INPUT!$C$26=INPUT!$C$198,'CCNL-appoggio'!B13,IF(INPUT!$C$26=INPUT!$C$199,'CCNL-appoggio'!G13,'CCNL-appoggio'!H13))</f>
        <v>24.29</v>
      </c>
      <c r="N13" t="s">
        <v>261</v>
      </c>
      <c r="O13" s="153">
        <v>18.68</v>
      </c>
      <c r="P13" s="153">
        <v>19.940000000000001</v>
      </c>
      <c r="R13" t="s">
        <v>259</v>
      </c>
      <c r="S13" s="153">
        <v>18.66</v>
      </c>
      <c r="T13" s="153">
        <v>19.309999999999999</v>
      </c>
      <c r="U13" s="153">
        <v>19.600000000000001</v>
      </c>
      <c r="V13" s="153">
        <v>19.86</v>
      </c>
    </row>
    <row r="14" spans="1:22" x14ac:dyDescent="0.35">
      <c r="A14" t="s">
        <v>268</v>
      </c>
      <c r="B14" s="177">
        <f t="shared" si="0"/>
        <v>26.42</v>
      </c>
      <c r="F14" t="s">
        <v>269</v>
      </c>
      <c r="G14" s="177">
        <f t="shared" si="1"/>
        <v>16.93</v>
      </c>
      <c r="H14" s="177">
        <f t="shared" si="2"/>
        <v>18.079999999999998</v>
      </c>
      <c r="K14" s="178" t="str">
        <f>+IF(INPUT!$C$26=INPUT!$C$198,'CCNL-appoggio'!A14,IF(INPUT!$C$26=INPUT!$C$199,'CCNL-appoggio'!F14,'CCNL-appoggio'!F14))</f>
        <v>E2 con i.p.</v>
      </c>
      <c r="L14" s="179">
        <f>+IF(INPUT!$C$26=INPUT!$C$198,'CCNL-appoggio'!B14,IF(INPUT!$C$26=INPUT!$C$199,'CCNL-appoggio'!G14,'CCNL-appoggio'!H14))</f>
        <v>26.42</v>
      </c>
      <c r="N14" t="s">
        <v>263</v>
      </c>
      <c r="O14" s="153">
        <v>18.100000000000001</v>
      </c>
      <c r="P14" s="153">
        <v>19.329999999999998</v>
      </c>
      <c r="R14" t="s">
        <v>255</v>
      </c>
      <c r="S14" s="153">
        <v>18.97</v>
      </c>
      <c r="T14" s="153">
        <v>19.64</v>
      </c>
      <c r="U14" s="153">
        <v>19.95</v>
      </c>
      <c r="V14" s="153">
        <v>20.22</v>
      </c>
    </row>
    <row r="15" spans="1:22" x14ac:dyDescent="0.35">
      <c r="A15" t="s">
        <v>265</v>
      </c>
      <c r="B15" s="177">
        <f t="shared" si="0"/>
        <v>27.79</v>
      </c>
      <c r="F15" t="s">
        <v>270</v>
      </c>
      <c r="G15" s="177">
        <f t="shared" si="1"/>
        <v>16.63</v>
      </c>
      <c r="H15" s="177">
        <f t="shared" si="2"/>
        <v>17.760000000000002</v>
      </c>
      <c r="K15" s="178" t="str">
        <f>+IF(INPUT!$C$26=INPUT!$C$198,'CCNL-appoggio'!A15,IF(INPUT!$C$26=INPUT!$C$199,'CCNL-appoggio'!F15,'CCNL-appoggio'!F15))</f>
        <v>F1</v>
      </c>
      <c r="L15" s="179">
        <f>+IF(INPUT!$C$26=INPUT!$C$198,'CCNL-appoggio'!B15,IF(INPUT!$C$26=INPUT!$C$199,'CCNL-appoggio'!G15,'CCNL-appoggio'!H15))</f>
        <v>27.79</v>
      </c>
      <c r="N15" t="s">
        <v>254</v>
      </c>
      <c r="O15" s="153">
        <v>17.61</v>
      </c>
      <c r="P15" s="153">
        <v>18.809999999999999</v>
      </c>
      <c r="R15" t="s">
        <v>264</v>
      </c>
      <c r="S15" s="153">
        <v>20.79</v>
      </c>
      <c r="T15" s="153">
        <v>21.46</v>
      </c>
      <c r="U15" s="153">
        <v>21.77</v>
      </c>
      <c r="V15" s="153">
        <v>22.04</v>
      </c>
    </row>
    <row r="16" spans="1:22" x14ac:dyDescent="0.35">
      <c r="A16" t="s">
        <v>271</v>
      </c>
      <c r="B16" s="177">
        <f t="shared" si="0"/>
        <v>29.01</v>
      </c>
      <c r="F16" t="s">
        <v>272</v>
      </c>
      <c r="G16" s="177">
        <f t="shared" si="1"/>
        <v>16.36</v>
      </c>
      <c r="H16" s="177">
        <f t="shared" si="2"/>
        <v>17.47</v>
      </c>
      <c r="K16" s="178" t="str">
        <f>+IF(INPUT!$C$26=INPUT!$C$198,'CCNL-appoggio'!A16,IF(INPUT!$C$26=INPUT!$C$199,'CCNL-appoggio'!F16,'CCNL-appoggio'!F16))</f>
        <v>F1 con i.p.</v>
      </c>
      <c r="L16" s="179">
        <f>+IF(INPUT!$C$26=INPUT!$C$198,'CCNL-appoggio'!B16,IF(INPUT!$C$26=INPUT!$C$199,'CCNL-appoggio'!G16,'CCNL-appoggio'!H16))</f>
        <v>29.01</v>
      </c>
      <c r="N16" t="s">
        <v>250</v>
      </c>
      <c r="O16" s="153">
        <v>17.2</v>
      </c>
      <c r="P16" s="153">
        <v>18.37</v>
      </c>
      <c r="R16" t="s">
        <v>260</v>
      </c>
      <c r="S16" s="153">
        <v>20.27</v>
      </c>
      <c r="T16" s="153">
        <v>20.97</v>
      </c>
      <c r="U16" s="153">
        <v>21.3</v>
      </c>
      <c r="V16" s="153">
        <v>21.59</v>
      </c>
    </row>
    <row r="17" spans="1:22" x14ac:dyDescent="0.35">
      <c r="A17" t="s">
        <v>266</v>
      </c>
      <c r="B17" s="177">
        <f t="shared" si="0"/>
        <v>32.42</v>
      </c>
      <c r="F17" t="s">
        <v>273</v>
      </c>
      <c r="G17" s="177">
        <f t="shared" si="1"/>
        <v>16.12</v>
      </c>
      <c r="H17" s="177">
        <f t="shared" si="2"/>
        <v>17.21</v>
      </c>
      <c r="K17" s="178" t="str">
        <f>+IF(INPUT!$C$26=INPUT!$C$198,'CCNL-appoggio'!A17,IF(INPUT!$C$26=INPUT!$C$199,'CCNL-appoggio'!F17,'CCNL-appoggio'!F17))</f>
        <v>F2</v>
      </c>
      <c r="L17" s="179">
        <f>+IF(INPUT!$C$26=INPUT!$C$198,'CCNL-appoggio'!B17,IF(INPUT!$C$26=INPUT!$C$199,'CCNL-appoggio'!G17,'CCNL-appoggio'!H17))</f>
        <v>32.42</v>
      </c>
      <c r="N17" t="s">
        <v>267</v>
      </c>
      <c r="O17" s="153">
        <v>17.579999999999998</v>
      </c>
      <c r="P17" s="153">
        <v>18.77</v>
      </c>
      <c r="R17" t="s">
        <v>262</v>
      </c>
      <c r="S17" s="153">
        <v>22.87</v>
      </c>
      <c r="T17" s="153">
        <v>23.62</v>
      </c>
      <c r="U17" s="153">
        <v>23.98</v>
      </c>
      <c r="V17" s="153">
        <v>24.29</v>
      </c>
    </row>
    <row r="18" spans="1:22" x14ac:dyDescent="0.35">
      <c r="A18" t="s">
        <v>274</v>
      </c>
      <c r="B18" s="177">
        <f t="shared" si="0"/>
        <v>32.42</v>
      </c>
      <c r="F18" t="s">
        <v>275</v>
      </c>
      <c r="G18" s="177">
        <f t="shared" si="1"/>
        <v>15.5</v>
      </c>
      <c r="H18" s="177">
        <f t="shared" si="2"/>
        <v>16.55</v>
      </c>
      <c r="K18" s="178" t="str">
        <f>+IF(INPUT!$C$26=INPUT!$C$198,'CCNL-appoggio'!A18,IF(INPUT!$C$26=INPUT!$C$199,'CCNL-appoggio'!F18,'CCNL-appoggio'!F18))</f>
        <v>F2 con i.d.</v>
      </c>
      <c r="L18" s="179">
        <f>+IF(INPUT!$C$26=INPUT!$C$198,'CCNL-appoggio'!B18,IF(INPUT!$C$26=INPUT!$C$199,'CCNL-appoggio'!G18,'CCNL-appoggio'!H18))</f>
        <v>32.42</v>
      </c>
      <c r="N18" t="s">
        <v>269</v>
      </c>
      <c r="O18" s="153">
        <v>16.93</v>
      </c>
      <c r="P18" s="153">
        <v>18.079999999999998</v>
      </c>
      <c r="R18" t="s">
        <v>268</v>
      </c>
      <c r="S18" s="153">
        <v>24.99</v>
      </c>
      <c r="T18" s="153">
        <v>25.75</v>
      </c>
      <c r="U18" s="153">
        <v>26.11</v>
      </c>
      <c r="V18" s="153">
        <v>26.42</v>
      </c>
    </row>
    <row r="19" spans="1:22" x14ac:dyDescent="0.35">
      <c r="F19" t="s">
        <v>247</v>
      </c>
      <c r="G19" s="177">
        <f t="shared" si="1"/>
        <v>15.25</v>
      </c>
      <c r="H19" s="177">
        <f t="shared" si="2"/>
        <v>16.28</v>
      </c>
      <c r="K19" s="178">
        <f>+IF(INPUT!$C$26=INPUT!$C$198,'CCNL-appoggio'!A19,IF(INPUT!$C$26=INPUT!$C$199,'CCNL-appoggio'!F19,'CCNL-appoggio'!F19))</f>
        <v>0</v>
      </c>
      <c r="L19" s="179">
        <f>+IF(INPUT!$C$26=INPUT!$C$198,'CCNL-appoggio'!B19,IF(INPUT!$C$26=INPUT!$C$199,'CCNL-appoggio'!G19,'CCNL-appoggio'!H19))</f>
        <v>0</v>
      </c>
      <c r="N19" t="s">
        <v>270</v>
      </c>
      <c r="O19" s="153">
        <v>16.63</v>
      </c>
      <c r="P19" s="153">
        <v>17.760000000000002</v>
      </c>
      <c r="R19" t="s">
        <v>265</v>
      </c>
      <c r="S19" s="153">
        <v>26.23</v>
      </c>
      <c r="T19" s="153">
        <v>27.05</v>
      </c>
      <c r="U19" s="153">
        <v>27.45</v>
      </c>
      <c r="V19" s="153">
        <v>27.79</v>
      </c>
    </row>
    <row r="20" spans="1:22" x14ac:dyDescent="0.35">
      <c r="F20" t="s">
        <v>276</v>
      </c>
      <c r="G20" s="177">
        <f t="shared" si="1"/>
        <v>15.51</v>
      </c>
      <c r="H20" s="177">
        <f t="shared" si="2"/>
        <v>16.559999999999999</v>
      </c>
      <c r="K20" s="178">
        <f>+IF(INPUT!$C$26=INPUT!$C$198,'CCNL-appoggio'!A20,IF(INPUT!$C$26=INPUT!$C$199,'CCNL-appoggio'!F20,'CCNL-appoggio'!F20))</f>
        <v>0</v>
      </c>
      <c r="L20" s="179">
        <f>+IF(INPUT!$C$26=INPUT!$C$198,'CCNL-appoggio'!B20,IF(INPUT!$C$26=INPUT!$C$199,'CCNL-appoggio'!G20,'CCNL-appoggio'!H20))</f>
        <v>0</v>
      </c>
      <c r="N20" t="s">
        <v>272</v>
      </c>
      <c r="O20" s="153">
        <v>16.36</v>
      </c>
      <c r="P20" s="153">
        <v>17.47</v>
      </c>
      <c r="R20" t="s">
        <v>271</v>
      </c>
      <c r="S20" s="153">
        <v>27.45</v>
      </c>
      <c r="T20" s="153">
        <v>28.27</v>
      </c>
      <c r="U20" s="153">
        <v>28.66</v>
      </c>
      <c r="V20" s="153">
        <v>29.01</v>
      </c>
    </row>
    <row r="21" spans="1:22" x14ac:dyDescent="0.35">
      <c r="F21" t="s">
        <v>277</v>
      </c>
      <c r="G21" s="177">
        <f t="shared" si="1"/>
        <v>15.2</v>
      </c>
      <c r="H21" s="177">
        <f t="shared" si="2"/>
        <v>16.23</v>
      </c>
      <c r="K21" s="178">
        <f>+IF(INPUT!$C$26=INPUT!$C$198,'CCNL-appoggio'!A21,IF(INPUT!$C$26=INPUT!$C$199,'CCNL-appoggio'!F21,'CCNL-appoggio'!F21))</f>
        <v>0</v>
      </c>
      <c r="L21" s="179">
        <f>+IF(INPUT!$C$26=INPUT!$C$198,'CCNL-appoggio'!B21,IF(INPUT!$C$26=INPUT!$C$199,'CCNL-appoggio'!G21,'CCNL-appoggio'!H21))</f>
        <v>0</v>
      </c>
      <c r="N21" t="s">
        <v>273</v>
      </c>
      <c r="O21" s="153">
        <v>16.12</v>
      </c>
      <c r="P21" s="153">
        <v>17.21</v>
      </c>
      <c r="R21" t="s">
        <v>266</v>
      </c>
      <c r="S21" s="153">
        <v>30.65</v>
      </c>
      <c r="T21" s="153">
        <v>31.57</v>
      </c>
      <c r="U21" s="153">
        <v>32.020000000000003</v>
      </c>
      <c r="V21" s="153">
        <v>32.42</v>
      </c>
    </row>
    <row r="22" spans="1:22" x14ac:dyDescent="0.35">
      <c r="F22" t="s">
        <v>278</v>
      </c>
      <c r="G22" s="177">
        <f t="shared" si="1"/>
        <v>14.93</v>
      </c>
      <c r="H22" s="177">
        <f t="shared" si="2"/>
        <v>15.94</v>
      </c>
      <c r="K22" s="178">
        <f>+IF(INPUT!$C$26=INPUT!$C$198,'CCNL-appoggio'!A22,IF(INPUT!$C$26=INPUT!$C$199,'CCNL-appoggio'!F22,'CCNL-appoggio'!F22))</f>
        <v>0</v>
      </c>
      <c r="L22" s="179">
        <f>+IF(INPUT!$C$26=INPUT!$C$198,'CCNL-appoggio'!B22,IF(INPUT!$C$26=INPUT!$C$199,'CCNL-appoggio'!G22,'CCNL-appoggio'!H22))</f>
        <v>0</v>
      </c>
      <c r="N22" t="s">
        <v>275</v>
      </c>
      <c r="O22" s="153">
        <v>15.5</v>
      </c>
      <c r="P22" s="153">
        <v>16.55</v>
      </c>
      <c r="R22" t="s">
        <v>274</v>
      </c>
      <c r="S22" s="153">
        <v>30.65</v>
      </c>
      <c r="T22" s="153">
        <v>31.57</v>
      </c>
      <c r="U22" s="153">
        <v>32.020000000000003</v>
      </c>
      <c r="V22" s="153">
        <v>32.42</v>
      </c>
    </row>
    <row r="23" spans="1:22" x14ac:dyDescent="0.35">
      <c r="F23" t="s">
        <v>245</v>
      </c>
      <c r="G23" s="177">
        <f t="shared" si="1"/>
        <v>14.62</v>
      </c>
      <c r="H23" s="177">
        <f t="shared" si="2"/>
        <v>15.61</v>
      </c>
      <c r="K23" s="178">
        <f>+IF(INPUT!$C$26=INPUT!$C$198,'CCNL-appoggio'!A23,IF(INPUT!$C$26=INPUT!$C$199,'CCNL-appoggio'!F23,'CCNL-appoggio'!F23))</f>
        <v>0</v>
      </c>
      <c r="L23" s="179">
        <f>+IF(INPUT!$C$26=INPUT!$C$198,'CCNL-appoggio'!B23,IF(INPUT!$C$26=INPUT!$C$199,'CCNL-appoggio'!G23,'CCNL-appoggio'!H23))</f>
        <v>0</v>
      </c>
      <c r="N23" t="s">
        <v>247</v>
      </c>
      <c r="O23" s="153">
        <v>15.25</v>
      </c>
      <c r="P23" s="153">
        <v>16.28</v>
      </c>
    </row>
    <row r="24" spans="1:22" x14ac:dyDescent="0.35">
      <c r="F24" t="s">
        <v>240</v>
      </c>
      <c r="G24" s="177">
        <f t="shared" si="1"/>
        <v>14.43</v>
      </c>
      <c r="H24" s="177">
        <f t="shared" si="2"/>
        <v>15.41</v>
      </c>
      <c r="K24" s="181">
        <f>+IF(INPUT!$C$26=INPUT!$C$198,'CCNL-appoggio'!A24,IF(INPUT!$C$26=INPUT!$C$199,'CCNL-appoggio'!F24,'CCNL-appoggio'!F24))</f>
        <v>0</v>
      </c>
      <c r="L24" s="182">
        <f>+IF(INPUT!$C$26=INPUT!$C$198,'CCNL-appoggio'!B24,IF(INPUT!$C$26=INPUT!$C$199,'CCNL-appoggio'!G24,'CCNL-appoggio'!H24))</f>
        <v>0</v>
      </c>
      <c r="N24" t="s">
        <v>276</v>
      </c>
      <c r="O24" s="153">
        <v>15.51</v>
      </c>
      <c r="P24" s="153">
        <v>16.559999999999999</v>
      </c>
    </row>
    <row r="25" spans="1:22" x14ac:dyDescent="0.35">
      <c r="N25" t="s">
        <v>277</v>
      </c>
      <c r="O25" s="153">
        <v>15.2</v>
      </c>
      <c r="P25" s="153">
        <v>16.23</v>
      </c>
    </row>
    <row r="26" spans="1:22" x14ac:dyDescent="0.35">
      <c r="N26" t="s">
        <v>278</v>
      </c>
      <c r="O26" s="153">
        <v>14.93</v>
      </c>
      <c r="P26" s="153">
        <v>15.94</v>
      </c>
    </row>
    <row r="27" spans="1:22" x14ac:dyDescent="0.35">
      <c r="N27" t="s">
        <v>245</v>
      </c>
      <c r="O27" s="153">
        <v>14.62</v>
      </c>
      <c r="P27" s="153">
        <v>15.61</v>
      </c>
    </row>
    <row r="28" spans="1:22" x14ac:dyDescent="0.35">
      <c r="N28" t="s">
        <v>240</v>
      </c>
      <c r="O28" s="153">
        <v>14.43</v>
      </c>
      <c r="P28" s="153">
        <v>15.41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66"/>
  <sheetViews>
    <sheetView zoomScaleNormal="100" workbookViewId="0">
      <pane ySplit="9" topLeftCell="A22" activePane="bottomLeft" state="frozen"/>
      <selection pane="bottomLeft" activeCell="N3" sqref="N3"/>
    </sheetView>
  </sheetViews>
  <sheetFormatPr defaultColWidth="8.7265625" defaultRowHeight="14.5" x14ac:dyDescent="0.35"/>
  <cols>
    <col min="1" max="1" width="37.453125" customWidth="1"/>
    <col min="2" max="2" width="9.1796875" style="183" customWidth="1"/>
    <col min="9" max="9" width="13.26953125" customWidth="1"/>
  </cols>
  <sheetData>
    <row r="1" spans="1:19" x14ac:dyDescent="0.35">
      <c r="A1" t="s">
        <v>279</v>
      </c>
      <c r="B1" s="184" t="s">
        <v>280</v>
      </c>
    </row>
    <row r="2" spans="1:19" x14ac:dyDescent="0.35">
      <c r="A2" t="s">
        <v>148</v>
      </c>
      <c r="B2" s="184" t="str">
        <f>+INPUT!C2</f>
        <v>Puglia</v>
      </c>
    </row>
    <row r="3" spans="1:19" x14ac:dyDescent="0.35">
      <c r="A3" t="s">
        <v>281</v>
      </c>
      <c r="B3" s="185">
        <f>+IF(B1="Generale",0.039,INDEX(C47:C50,MATCH(B2,B47:B50,0)))</f>
        <v>0</v>
      </c>
    </row>
    <row r="4" spans="1:19" x14ac:dyDescent="0.35">
      <c r="B4" s="185"/>
    </row>
    <row r="5" spans="1:19" x14ac:dyDescent="0.35">
      <c r="A5" t="s">
        <v>282</v>
      </c>
      <c r="B5" s="186" t="s">
        <v>87</v>
      </c>
    </row>
    <row r="6" spans="1:19" x14ac:dyDescent="0.35">
      <c r="A6" t="s">
        <v>283</v>
      </c>
      <c r="B6" s="183">
        <v>1548</v>
      </c>
      <c r="C6">
        <v>1548</v>
      </c>
    </row>
    <row r="9" spans="1:19" s="136" customFormat="1" x14ac:dyDescent="0.35">
      <c r="A9" s="187" t="s">
        <v>284</v>
      </c>
      <c r="B9" s="188" t="s">
        <v>240</v>
      </c>
      <c r="C9" s="148" t="s">
        <v>245</v>
      </c>
      <c r="D9" s="161" t="s">
        <v>247</v>
      </c>
      <c r="E9" s="148" t="s">
        <v>249</v>
      </c>
      <c r="F9" s="161" t="s">
        <v>250</v>
      </c>
      <c r="G9" s="161" t="s">
        <v>254</v>
      </c>
      <c r="H9" s="161" t="s">
        <v>256</v>
      </c>
      <c r="I9" s="148" t="s">
        <v>259</v>
      </c>
      <c r="J9" s="161" t="s">
        <v>255</v>
      </c>
      <c r="K9" s="148" t="s">
        <v>264</v>
      </c>
      <c r="L9" s="161" t="s">
        <v>260</v>
      </c>
      <c r="M9" s="161" t="s">
        <v>262</v>
      </c>
      <c r="N9" s="148" t="s">
        <v>268</v>
      </c>
      <c r="O9" s="161" t="s">
        <v>265</v>
      </c>
      <c r="P9" s="148" t="s">
        <v>271</v>
      </c>
      <c r="Q9" s="161" t="s">
        <v>266</v>
      </c>
      <c r="R9" s="149" t="s">
        <v>274</v>
      </c>
    </row>
    <row r="10" spans="1:19" x14ac:dyDescent="0.35">
      <c r="A10" s="162" t="s">
        <v>285</v>
      </c>
      <c r="B10" s="189">
        <v>1184.19</v>
      </c>
      <c r="C10" s="190">
        <v>1195.1300000000001</v>
      </c>
      <c r="D10" s="189">
        <v>1250.81</v>
      </c>
      <c r="E10" s="190">
        <v>1250.81</v>
      </c>
      <c r="F10" s="189">
        <v>1345.21</v>
      </c>
      <c r="G10" s="189">
        <v>1385.5</v>
      </c>
      <c r="H10" s="189">
        <v>1426.41</v>
      </c>
      <c r="I10" s="190">
        <v>1426.41</v>
      </c>
      <c r="J10" s="189">
        <v>1504.67</v>
      </c>
      <c r="K10" s="190">
        <v>1504.67</v>
      </c>
      <c r="L10" s="189">
        <v>1601.8</v>
      </c>
      <c r="M10" s="189">
        <v>1728.9</v>
      </c>
      <c r="N10" s="190">
        <v>1728.9</v>
      </c>
      <c r="O10" s="189">
        <v>1909.51</v>
      </c>
      <c r="P10" s="190">
        <v>1909.51</v>
      </c>
      <c r="Q10" s="189">
        <v>2180.73</v>
      </c>
      <c r="R10" s="191">
        <v>2180.73</v>
      </c>
      <c r="S10" s="183"/>
    </row>
    <row r="11" spans="1:19" x14ac:dyDescent="0.35">
      <c r="A11" s="162" t="s">
        <v>286</v>
      </c>
      <c r="B11" s="189">
        <v>34.86</v>
      </c>
      <c r="C11" s="192">
        <v>40.29</v>
      </c>
      <c r="D11" s="163">
        <v>48.81</v>
      </c>
      <c r="E11" s="192">
        <v>48.81</v>
      </c>
      <c r="F11" s="163">
        <v>55.77</v>
      </c>
      <c r="G11" s="163">
        <v>58.89</v>
      </c>
      <c r="H11" s="163">
        <v>61.98</v>
      </c>
      <c r="I11" s="192">
        <v>61.98</v>
      </c>
      <c r="J11" s="163">
        <v>69.72</v>
      </c>
      <c r="K11" s="192">
        <v>69.72</v>
      </c>
      <c r="L11" s="163">
        <v>80.58</v>
      </c>
      <c r="M11" s="163">
        <v>94.5</v>
      </c>
      <c r="N11" s="192">
        <v>94.5</v>
      </c>
      <c r="O11" s="163">
        <v>118.53</v>
      </c>
      <c r="P11" s="192">
        <v>118.53</v>
      </c>
      <c r="Q11" s="163">
        <v>139.44</v>
      </c>
      <c r="R11" s="193">
        <v>139.44</v>
      </c>
      <c r="S11" s="183"/>
    </row>
    <row r="12" spans="1:19" x14ac:dyDescent="0.35">
      <c r="A12" s="162" t="s">
        <v>287</v>
      </c>
      <c r="B12" s="189"/>
      <c r="C12" s="190"/>
      <c r="D12" s="189"/>
      <c r="E12" s="190"/>
      <c r="F12" s="189"/>
      <c r="G12" s="189"/>
      <c r="H12" s="189"/>
      <c r="I12" s="192">
        <v>61.97</v>
      </c>
      <c r="J12" s="189"/>
      <c r="K12" s="192">
        <v>154.94</v>
      </c>
      <c r="L12" s="189"/>
      <c r="M12" s="189"/>
      <c r="N12" s="192">
        <v>258.23</v>
      </c>
      <c r="O12" s="189"/>
      <c r="P12" s="192">
        <v>258.23</v>
      </c>
      <c r="Q12" s="189"/>
      <c r="R12" s="193">
        <v>232.41</v>
      </c>
      <c r="S12" s="183"/>
    </row>
    <row r="13" spans="1:19" x14ac:dyDescent="0.35">
      <c r="A13" s="162" t="s">
        <v>288</v>
      </c>
      <c r="B13" s="189"/>
      <c r="C13" s="190"/>
      <c r="D13" s="189"/>
      <c r="E13" s="192">
        <v>46.48</v>
      </c>
      <c r="F13" s="189"/>
      <c r="G13" s="189"/>
      <c r="H13" s="189"/>
      <c r="I13" s="190"/>
      <c r="J13" s="189"/>
      <c r="K13" s="190"/>
      <c r="L13" s="189"/>
      <c r="M13" s="163">
        <v>77.47</v>
      </c>
      <c r="N13" s="190"/>
      <c r="O13" s="163">
        <v>154.94</v>
      </c>
      <c r="P13" s="190"/>
      <c r="Q13" s="163">
        <v>232.41</v>
      </c>
      <c r="R13" s="191"/>
      <c r="S13" s="183"/>
    </row>
    <row r="14" spans="1:19" x14ac:dyDescent="0.35">
      <c r="A14" s="162" t="s">
        <v>289</v>
      </c>
      <c r="B14" s="189">
        <v>30.2</v>
      </c>
      <c r="C14" s="192">
        <v>30.48</v>
      </c>
      <c r="D14" s="163">
        <v>31.9</v>
      </c>
      <c r="E14" s="192">
        <v>31.9</v>
      </c>
      <c r="F14" s="163">
        <v>34.299999999999997</v>
      </c>
      <c r="G14" s="163">
        <v>35.33</v>
      </c>
      <c r="H14" s="163">
        <v>36.369999999999997</v>
      </c>
      <c r="I14" s="192">
        <v>36.369999999999997</v>
      </c>
      <c r="J14" s="163">
        <v>38.369999999999997</v>
      </c>
      <c r="K14" s="192">
        <v>38.369999999999997</v>
      </c>
      <c r="L14" s="163">
        <v>40.85</v>
      </c>
      <c r="M14" s="163">
        <v>44.09</v>
      </c>
      <c r="N14" s="192">
        <v>44.09</v>
      </c>
      <c r="O14" s="163">
        <v>48.69</v>
      </c>
      <c r="P14" s="192">
        <v>48.69</v>
      </c>
      <c r="Q14" s="163">
        <v>55.61</v>
      </c>
      <c r="R14" s="193">
        <v>55.61</v>
      </c>
      <c r="S14" s="183"/>
    </row>
    <row r="15" spans="1:19" x14ac:dyDescent="0.35">
      <c r="B15" s="194"/>
      <c r="D15" s="195"/>
      <c r="F15" s="195"/>
      <c r="G15" s="195"/>
      <c r="H15" s="195"/>
      <c r="J15" s="195"/>
      <c r="L15" s="195"/>
      <c r="M15" s="195"/>
      <c r="O15" s="195"/>
      <c r="Q15" s="195"/>
    </row>
    <row r="16" spans="1:19" x14ac:dyDescent="0.35">
      <c r="A16" s="162" t="s">
        <v>290</v>
      </c>
      <c r="B16" s="189">
        <f t="shared" ref="B16:R16" si="0">+SUM(B10:B14)</f>
        <v>1249.25</v>
      </c>
      <c r="C16" s="190">
        <f t="shared" si="0"/>
        <v>1265.9000000000001</v>
      </c>
      <c r="D16" s="189">
        <f t="shared" si="0"/>
        <v>1331.52</v>
      </c>
      <c r="E16" s="190">
        <f t="shared" si="0"/>
        <v>1378</v>
      </c>
      <c r="F16" s="189">
        <f t="shared" si="0"/>
        <v>1435.28</v>
      </c>
      <c r="G16" s="189">
        <f t="shared" si="0"/>
        <v>1479.72</v>
      </c>
      <c r="H16" s="189">
        <f t="shared" si="0"/>
        <v>1524.76</v>
      </c>
      <c r="I16" s="190">
        <f t="shared" si="0"/>
        <v>1586.73</v>
      </c>
      <c r="J16" s="189">
        <f t="shared" si="0"/>
        <v>1612.76</v>
      </c>
      <c r="K16" s="190">
        <f t="shared" si="0"/>
        <v>1767.7</v>
      </c>
      <c r="L16" s="189">
        <f t="shared" si="0"/>
        <v>1723.2299999999998</v>
      </c>
      <c r="M16" s="189">
        <f t="shared" si="0"/>
        <v>1944.96</v>
      </c>
      <c r="N16" s="190">
        <f t="shared" si="0"/>
        <v>2125.7200000000003</v>
      </c>
      <c r="O16" s="189">
        <f t="shared" si="0"/>
        <v>2231.67</v>
      </c>
      <c r="P16" s="190">
        <f t="shared" si="0"/>
        <v>2334.96</v>
      </c>
      <c r="Q16" s="189">
        <f t="shared" si="0"/>
        <v>2608.19</v>
      </c>
      <c r="R16" s="191">
        <f t="shared" si="0"/>
        <v>2608.19</v>
      </c>
    </row>
    <row r="17" spans="1:18" x14ac:dyDescent="0.35">
      <c r="A17" s="162" t="s">
        <v>291</v>
      </c>
      <c r="B17" s="189">
        <f t="shared" ref="B17:R17" si="1">+B16*13</f>
        <v>16240.25</v>
      </c>
      <c r="C17" s="190">
        <f t="shared" si="1"/>
        <v>16456.7</v>
      </c>
      <c r="D17" s="189">
        <f t="shared" si="1"/>
        <v>17309.759999999998</v>
      </c>
      <c r="E17" s="190">
        <f t="shared" si="1"/>
        <v>17914</v>
      </c>
      <c r="F17" s="189">
        <f t="shared" si="1"/>
        <v>18658.64</v>
      </c>
      <c r="G17" s="189">
        <f t="shared" si="1"/>
        <v>19236.36</v>
      </c>
      <c r="H17" s="189">
        <f t="shared" si="1"/>
        <v>19821.88</v>
      </c>
      <c r="I17" s="190">
        <f t="shared" si="1"/>
        <v>20627.490000000002</v>
      </c>
      <c r="J17" s="189">
        <f t="shared" si="1"/>
        <v>20965.88</v>
      </c>
      <c r="K17" s="190">
        <f t="shared" si="1"/>
        <v>22980.100000000002</v>
      </c>
      <c r="L17" s="189">
        <f t="shared" si="1"/>
        <v>22401.989999999998</v>
      </c>
      <c r="M17" s="189">
        <f t="shared" si="1"/>
        <v>25284.48</v>
      </c>
      <c r="N17" s="190">
        <f t="shared" si="1"/>
        <v>27634.360000000004</v>
      </c>
      <c r="O17" s="189">
        <f t="shared" si="1"/>
        <v>29011.71</v>
      </c>
      <c r="P17" s="190">
        <f t="shared" si="1"/>
        <v>30354.48</v>
      </c>
      <c r="Q17" s="189">
        <f t="shared" si="1"/>
        <v>33906.47</v>
      </c>
      <c r="R17" s="191">
        <f t="shared" si="1"/>
        <v>33906.47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2" t="s">
        <v>292</v>
      </c>
      <c r="B19" s="189"/>
      <c r="C19" s="192"/>
      <c r="D19" s="163"/>
      <c r="E19" s="192"/>
      <c r="F19" s="163"/>
      <c r="G19" s="163"/>
      <c r="H19" s="163"/>
      <c r="I19" s="192"/>
      <c r="J19" s="163"/>
      <c r="K19" s="192"/>
      <c r="L19" s="163"/>
      <c r="M19" s="163"/>
      <c r="N19" s="192"/>
      <c r="O19" s="163"/>
      <c r="P19" s="192"/>
      <c r="Q19" s="163"/>
      <c r="R19" s="193"/>
    </row>
    <row r="20" spans="1:18" x14ac:dyDescent="0.35">
      <c r="A20" s="162" t="s">
        <v>293</v>
      </c>
      <c r="B20" s="189">
        <f t="shared" ref="B20:R20" si="2">+B17*0.269</f>
        <v>4368.6272500000005</v>
      </c>
      <c r="C20" s="190">
        <f t="shared" si="2"/>
        <v>4426.8523000000005</v>
      </c>
      <c r="D20" s="189">
        <f t="shared" si="2"/>
        <v>4656.3254399999996</v>
      </c>
      <c r="E20" s="190">
        <f t="shared" si="2"/>
        <v>4818.866</v>
      </c>
      <c r="F20" s="189">
        <f t="shared" si="2"/>
        <v>5019.1741600000005</v>
      </c>
      <c r="G20" s="189">
        <f t="shared" si="2"/>
        <v>5174.5808400000005</v>
      </c>
      <c r="H20" s="189">
        <f t="shared" si="2"/>
        <v>5332.0857200000009</v>
      </c>
      <c r="I20" s="190">
        <f t="shared" si="2"/>
        <v>5548.7948100000003</v>
      </c>
      <c r="J20" s="189">
        <f t="shared" si="2"/>
        <v>5639.8217200000008</v>
      </c>
      <c r="K20" s="190">
        <f t="shared" si="2"/>
        <v>6181.6469000000006</v>
      </c>
      <c r="L20" s="189">
        <f t="shared" si="2"/>
        <v>6026.1353099999997</v>
      </c>
      <c r="M20" s="189">
        <f t="shared" si="2"/>
        <v>6801.5251200000002</v>
      </c>
      <c r="N20" s="190">
        <f t="shared" si="2"/>
        <v>7433.6428400000013</v>
      </c>
      <c r="O20" s="189">
        <f t="shared" si="2"/>
        <v>7804.1499899999999</v>
      </c>
      <c r="P20" s="190">
        <f t="shared" si="2"/>
        <v>8165.3551200000002</v>
      </c>
      <c r="Q20" s="189">
        <f t="shared" si="2"/>
        <v>9120.8404300000002</v>
      </c>
      <c r="R20" s="191">
        <f t="shared" si="2"/>
        <v>9120.8404300000002</v>
      </c>
    </row>
    <row r="21" spans="1:18" x14ac:dyDescent="0.35">
      <c r="A21" s="162" t="s">
        <v>294</v>
      </c>
      <c r="B21" s="189">
        <f t="shared" ref="B21:R21" si="3">+B17*0.03</f>
        <v>487.20749999999998</v>
      </c>
      <c r="C21" s="190">
        <f t="shared" si="3"/>
        <v>493.70100000000002</v>
      </c>
      <c r="D21" s="189">
        <f t="shared" si="3"/>
        <v>519.29279999999994</v>
      </c>
      <c r="E21" s="190">
        <f t="shared" si="3"/>
        <v>537.41999999999996</v>
      </c>
      <c r="F21" s="189">
        <f t="shared" si="3"/>
        <v>559.75919999999996</v>
      </c>
      <c r="G21" s="189">
        <f t="shared" si="3"/>
        <v>577.09079999999994</v>
      </c>
      <c r="H21" s="189">
        <f t="shared" si="3"/>
        <v>594.65639999999996</v>
      </c>
      <c r="I21" s="190">
        <f t="shared" si="3"/>
        <v>618.82470000000001</v>
      </c>
      <c r="J21" s="189">
        <f t="shared" si="3"/>
        <v>628.97640000000001</v>
      </c>
      <c r="K21" s="190">
        <f t="shared" si="3"/>
        <v>689.40300000000002</v>
      </c>
      <c r="L21" s="189">
        <f t="shared" si="3"/>
        <v>672.05969999999991</v>
      </c>
      <c r="M21" s="189">
        <f t="shared" si="3"/>
        <v>758.53440000000001</v>
      </c>
      <c r="N21" s="190">
        <f t="shared" si="3"/>
        <v>829.03080000000011</v>
      </c>
      <c r="O21" s="189">
        <f t="shared" si="3"/>
        <v>870.35129999999992</v>
      </c>
      <c r="P21" s="190">
        <f t="shared" si="3"/>
        <v>910.63439999999991</v>
      </c>
      <c r="Q21" s="189">
        <f t="shared" si="3"/>
        <v>1017.1941</v>
      </c>
      <c r="R21" s="191">
        <f t="shared" si="3"/>
        <v>1017.1941</v>
      </c>
    </row>
    <row r="22" spans="1:18" x14ac:dyDescent="0.35">
      <c r="A22" s="162" t="s">
        <v>295</v>
      </c>
      <c r="B22" s="189">
        <f t="shared" ref="B22:R22" si="4">+B21+B20</f>
        <v>4855.83475</v>
      </c>
      <c r="C22" s="190">
        <f t="shared" si="4"/>
        <v>4920.5533000000005</v>
      </c>
      <c r="D22" s="189">
        <f t="shared" si="4"/>
        <v>5175.6182399999998</v>
      </c>
      <c r="E22" s="190">
        <f t="shared" si="4"/>
        <v>5356.2860000000001</v>
      </c>
      <c r="F22" s="189">
        <f t="shared" si="4"/>
        <v>5578.9333600000009</v>
      </c>
      <c r="G22" s="189">
        <f t="shared" si="4"/>
        <v>5751.6716400000005</v>
      </c>
      <c r="H22" s="189">
        <f t="shared" si="4"/>
        <v>5926.7421200000008</v>
      </c>
      <c r="I22" s="190">
        <f t="shared" si="4"/>
        <v>6167.6195100000004</v>
      </c>
      <c r="J22" s="189">
        <f t="shared" si="4"/>
        <v>6268.7981200000013</v>
      </c>
      <c r="K22" s="190">
        <f t="shared" si="4"/>
        <v>6871.0499000000009</v>
      </c>
      <c r="L22" s="189">
        <f t="shared" si="4"/>
        <v>6698.1950099999995</v>
      </c>
      <c r="M22" s="189">
        <f t="shared" si="4"/>
        <v>7560.0595200000007</v>
      </c>
      <c r="N22" s="190">
        <f t="shared" si="4"/>
        <v>8262.6736400000009</v>
      </c>
      <c r="O22" s="189">
        <f t="shared" si="4"/>
        <v>8674.5012900000002</v>
      </c>
      <c r="P22" s="190">
        <f t="shared" si="4"/>
        <v>9075.9895199999992</v>
      </c>
      <c r="Q22" s="189">
        <f t="shared" si="4"/>
        <v>10138.034530000001</v>
      </c>
      <c r="R22" s="191">
        <f t="shared" si="4"/>
        <v>10138.034530000001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s="162" t="s">
        <v>296</v>
      </c>
      <c r="B24" s="189">
        <f t="shared" ref="B24:R24" si="5">+B16*0.962962</f>
        <v>1202.9802784999999</v>
      </c>
      <c r="C24" s="190">
        <f t="shared" si="5"/>
        <v>1219.0135958000001</v>
      </c>
      <c r="D24" s="189">
        <f t="shared" si="5"/>
        <v>1282.20316224</v>
      </c>
      <c r="E24" s="190">
        <f t="shared" si="5"/>
        <v>1326.961636</v>
      </c>
      <c r="F24" s="189">
        <f t="shared" si="5"/>
        <v>1382.12009936</v>
      </c>
      <c r="G24" s="189">
        <f t="shared" si="5"/>
        <v>1424.9141306399999</v>
      </c>
      <c r="H24" s="189">
        <f t="shared" si="5"/>
        <v>1468.28593912</v>
      </c>
      <c r="I24" s="190">
        <f t="shared" si="5"/>
        <v>1527.9606942600001</v>
      </c>
      <c r="J24" s="189">
        <f t="shared" si="5"/>
        <v>1553.0265951199999</v>
      </c>
      <c r="K24" s="190">
        <f t="shared" si="5"/>
        <v>1702.2279274</v>
      </c>
      <c r="L24" s="189">
        <f t="shared" si="5"/>
        <v>1659.4050072599998</v>
      </c>
      <c r="M24" s="189">
        <f t="shared" si="5"/>
        <v>1872.92257152</v>
      </c>
      <c r="N24" s="190">
        <f t="shared" si="5"/>
        <v>2046.9875826400003</v>
      </c>
      <c r="O24" s="189">
        <f t="shared" si="5"/>
        <v>2149.0134065400002</v>
      </c>
      <c r="P24" s="190">
        <f t="shared" si="5"/>
        <v>2248.4777515199999</v>
      </c>
      <c r="Q24" s="189">
        <f t="shared" si="5"/>
        <v>2511.5878587799998</v>
      </c>
      <c r="R24" s="191">
        <f t="shared" si="5"/>
        <v>2511.5878587799998</v>
      </c>
    </row>
    <row r="25" spans="1:18" x14ac:dyDescent="0.35">
      <c r="A25" s="162" t="s">
        <v>297</v>
      </c>
      <c r="B25" s="189">
        <f t="shared" ref="B25:R25" si="6">+B24*0.198175</f>
        <v>238.40061669173747</v>
      </c>
      <c r="C25" s="190">
        <f t="shared" si="6"/>
        <v>241.57801934766499</v>
      </c>
      <c r="D25" s="189">
        <f t="shared" si="6"/>
        <v>254.100611676912</v>
      </c>
      <c r="E25" s="190">
        <f t="shared" si="6"/>
        <v>262.97062221429996</v>
      </c>
      <c r="F25" s="189">
        <f t="shared" si="6"/>
        <v>273.90165069066802</v>
      </c>
      <c r="G25" s="189">
        <f t="shared" si="6"/>
        <v>282.38235783958197</v>
      </c>
      <c r="H25" s="189">
        <f t="shared" si="6"/>
        <v>290.97756598510597</v>
      </c>
      <c r="I25" s="190">
        <f t="shared" si="6"/>
        <v>302.8036105849755</v>
      </c>
      <c r="J25" s="189">
        <f t="shared" si="6"/>
        <v>307.77104548790595</v>
      </c>
      <c r="K25" s="190">
        <f t="shared" si="6"/>
        <v>337.33901951249499</v>
      </c>
      <c r="L25" s="189">
        <f t="shared" si="6"/>
        <v>328.85258731375046</v>
      </c>
      <c r="M25" s="189">
        <f t="shared" si="6"/>
        <v>371.16643061097597</v>
      </c>
      <c r="N25" s="190">
        <f t="shared" si="6"/>
        <v>405.661764189682</v>
      </c>
      <c r="O25" s="189">
        <f t="shared" si="6"/>
        <v>425.88073184106452</v>
      </c>
      <c r="P25" s="190">
        <f t="shared" si="6"/>
        <v>445.59207840747592</v>
      </c>
      <c r="Q25" s="189">
        <f t="shared" si="6"/>
        <v>497.73392391372641</v>
      </c>
      <c r="R25" s="191">
        <f t="shared" si="6"/>
        <v>497.73392391372641</v>
      </c>
    </row>
    <row r="26" spans="1:18" x14ac:dyDescent="0.35">
      <c r="A26" s="162" t="s">
        <v>298</v>
      </c>
      <c r="B26" s="189">
        <f t="shared" ref="B26:R26" si="7">+B17*0.01</f>
        <v>162.4025</v>
      </c>
      <c r="C26" s="190">
        <f t="shared" si="7"/>
        <v>164.56700000000001</v>
      </c>
      <c r="D26" s="189">
        <f t="shared" si="7"/>
        <v>173.0976</v>
      </c>
      <c r="E26" s="190">
        <f t="shared" si="7"/>
        <v>179.14000000000001</v>
      </c>
      <c r="F26" s="189">
        <f t="shared" si="7"/>
        <v>186.5864</v>
      </c>
      <c r="G26" s="189">
        <f t="shared" si="7"/>
        <v>192.36360000000002</v>
      </c>
      <c r="H26" s="189">
        <f t="shared" si="7"/>
        <v>198.21880000000002</v>
      </c>
      <c r="I26" s="190">
        <f t="shared" si="7"/>
        <v>206.27490000000003</v>
      </c>
      <c r="J26" s="189">
        <f t="shared" si="7"/>
        <v>209.65880000000001</v>
      </c>
      <c r="K26" s="190">
        <f t="shared" si="7"/>
        <v>229.80100000000002</v>
      </c>
      <c r="L26" s="189">
        <f t="shared" si="7"/>
        <v>224.01989999999998</v>
      </c>
      <c r="M26" s="189">
        <f t="shared" si="7"/>
        <v>252.84479999999999</v>
      </c>
      <c r="N26" s="190">
        <f t="shared" si="7"/>
        <v>276.34360000000004</v>
      </c>
      <c r="O26" s="189">
        <f t="shared" si="7"/>
        <v>290.11709999999999</v>
      </c>
      <c r="P26" s="190">
        <f t="shared" si="7"/>
        <v>303.54480000000001</v>
      </c>
      <c r="Q26" s="189">
        <f t="shared" si="7"/>
        <v>339.06470000000002</v>
      </c>
      <c r="R26" s="191">
        <f t="shared" si="7"/>
        <v>339.06470000000002</v>
      </c>
    </row>
    <row r="27" spans="1:18" x14ac:dyDescent="0.35">
      <c r="A27" s="162" t="s">
        <v>299</v>
      </c>
      <c r="B27" s="163">
        <v>60</v>
      </c>
      <c r="C27" s="192">
        <v>60</v>
      </c>
      <c r="D27" s="163">
        <v>60</v>
      </c>
      <c r="E27" s="192">
        <v>60</v>
      </c>
      <c r="F27" s="163">
        <v>60</v>
      </c>
      <c r="G27" s="163">
        <v>60</v>
      </c>
      <c r="H27" s="163">
        <v>60</v>
      </c>
      <c r="I27" s="192">
        <v>60</v>
      </c>
      <c r="J27" s="163">
        <v>60</v>
      </c>
      <c r="K27" s="192">
        <v>60</v>
      </c>
      <c r="L27" s="163">
        <v>60</v>
      </c>
      <c r="M27" s="163">
        <v>60</v>
      </c>
      <c r="N27" s="192">
        <v>60</v>
      </c>
      <c r="O27" s="163">
        <v>60</v>
      </c>
      <c r="P27" s="192">
        <v>60</v>
      </c>
      <c r="Q27" s="163">
        <v>60</v>
      </c>
      <c r="R27" s="193">
        <v>60</v>
      </c>
    </row>
    <row r="28" spans="1:18" x14ac:dyDescent="0.35">
      <c r="B28" s="194"/>
      <c r="D28" s="195"/>
      <c r="F28" s="195"/>
      <c r="G28" s="195"/>
      <c r="H28" s="195"/>
      <c r="J28" s="195"/>
      <c r="L28" s="195"/>
      <c r="M28" s="195"/>
      <c r="O28" s="195"/>
      <c r="Q28" s="195"/>
    </row>
    <row r="29" spans="1:18" x14ac:dyDescent="0.35">
      <c r="A29" s="162" t="s">
        <v>300</v>
      </c>
      <c r="B29" s="189">
        <f t="shared" ref="B29:R29" si="8">+B17+B22+B24+B25+B26+B27</f>
        <v>22759.86814519174</v>
      </c>
      <c r="C29" s="190">
        <f t="shared" si="8"/>
        <v>23062.411915147663</v>
      </c>
      <c r="D29" s="189">
        <f t="shared" si="8"/>
        <v>24254.779613916911</v>
      </c>
      <c r="E29" s="190">
        <f t="shared" si="8"/>
        <v>25099.358258214299</v>
      </c>
      <c r="F29" s="189">
        <f t="shared" si="8"/>
        <v>26140.181510050668</v>
      </c>
      <c r="G29" s="189">
        <f t="shared" si="8"/>
        <v>26947.691728479585</v>
      </c>
      <c r="H29" s="189">
        <f t="shared" si="8"/>
        <v>27766.104425105106</v>
      </c>
      <c r="I29" s="190">
        <f t="shared" si="8"/>
        <v>28892.148714844978</v>
      </c>
      <c r="J29" s="189">
        <f t="shared" si="8"/>
        <v>29365.134560607908</v>
      </c>
      <c r="K29" s="190">
        <f t="shared" si="8"/>
        <v>32180.517846912498</v>
      </c>
      <c r="L29" s="189">
        <f t="shared" si="8"/>
        <v>31372.462504573748</v>
      </c>
      <c r="M29" s="189">
        <f t="shared" si="8"/>
        <v>35401.473322130973</v>
      </c>
      <c r="N29" s="190">
        <f t="shared" si="8"/>
        <v>38686.026586829692</v>
      </c>
      <c r="O29" s="189">
        <f t="shared" si="8"/>
        <v>40611.222528381062</v>
      </c>
      <c r="P29" s="190">
        <f t="shared" si="8"/>
        <v>42488.084149927476</v>
      </c>
      <c r="Q29" s="189">
        <f t="shared" si="8"/>
        <v>47452.891012693734</v>
      </c>
      <c r="R29" s="191">
        <f t="shared" si="8"/>
        <v>47452.891012693734</v>
      </c>
    </row>
    <row r="30" spans="1:18" x14ac:dyDescent="0.35">
      <c r="A30" s="162" t="s">
        <v>282</v>
      </c>
      <c r="B30" s="189">
        <f t="shared" ref="B30:R30" si="9">+IF($B$5="Si",B55,0)</f>
        <v>0</v>
      </c>
      <c r="C30" s="190">
        <f t="shared" si="9"/>
        <v>0</v>
      </c>
      <c r="D30" s="189">
        <f t="shared" si="9"/>
        <v>0</v>
      </c>
      <c r="E30" s="190">
        <f t="shared" si="9"/>
        <v>0</v>
      </c>
      <c r="F30" s="189">
        <f t="shared" si="9"/>
        <v>0</v>
      </c>
      <c r="G30" s="189">
        <f t="shared" si="9"/>
        <v>0</v>
      </c>
      <c r="H30" s="189">
        <f t="shared" si="9"/>
        <v>0</v>
      </c>
      <c r="I30" s="190">
        <f t="shared" si="9"/>
        <v>0</v>
      </c>
      <c r="J30" s="189">
        <f t="shared" si="9"/>
        <v>0</v>
      </c>
      <c r="K30" s="190">
        <f t="shared" si="9"/>
        <v>0</v>
      </c>
      <c r="L30" s="189">
        <f t="shared" si="9"/>
        <v>0</v>
      </c>
      <c r="M30" s="189">
        <f t="shared" si="9"/>
        <v>0</v>
      </c>
      <c r="N30" s="190">
        <f t="shared" si="9"/>
        <v>0</v>
      </c>
      <c r="O30" s="189">
        <f t="shared" si="9"/>
        <v>0</v>
      </c>
      <c r="P30" s="190">
        <f t="shared" si="9"/>
        <v>0</v>
      </c>
      <c r="Q30" s="189">
        <f t="shared" si="9"/>
        <v>0</v>
      </c>
      <c r="R30" s="191">
        <f t="shared" si="9"/>
        <v>0</v>
      </c>
    </row>
    <row r="31" spans="1:18" x14ac:dyDescent="0.35">
      <c r="B31" s="194"/>
      <c r="C31" s="183"/>
      <c r="D31" s="194"/>
      <c r="E31" s="183"/>
      <c r="F31" s="194"/>
      <c r="G31" s="194"/>
      <c r="H31" s="194"/>
      <c r="I31" s="183"/>
      <c r="J31" s="194"/>
      <c r="K31" s="183"/>
      <c r="L31" s="194"/>
      <c r="M31" s="194"/>
      <c r="N31" s="183"/>
      <c r="O31" s="194"/>
      <c r="P31" s="183"/>
      <c r="Q31" s="194"/>
      <c r="R31" s="183"/>
    </row>
    <row r="32" spans="1:18" x14ac:dyDescent="0.35">
      <c r="A32" s="162" t="s">
        <v>301</v>
      </c>
      <c r="B32" s="189">
        <f t="shared" ref="B32:R32" si="10">+B30+B29</f>
        <v>22759.86814519174</v>
      </c>
      <c r="C32" s="190">
        <f t="shared" si="10"/>
        <v>23062.411915147663</v>
      </c>
      <c r="D32" s="189">
        <f t="shared" si="10"/>
        <v>24254.779613916911</v>
      </c>
      <c r="E32" s="190">
        <f t="shared" si="10"/>
        <v>25099.358258214299</v>
      </c>
      <c r="F32" s="189">
        <f t="shared" si="10"/>
        <v>26140.181510050668</v>
      </c>
      <c r="G32" s="189">
        <f t="shared" si="10"/>
        <v>26947.691728479585</v>
      </c>
      <c r="H32" s="189">
        <f t="shared" si="10"/>
        <v>27766.104425105106</v>
      </c>
      <c r="I32" s="190">
        <f t="shared" si="10"/>
        <v>28892.148714844978</v>
      </c>
      <c r="J32" s="189">
        <f t="shared" si="10"/>
        <v>29365.134560607908</v>
      </c>
      <c r="K32" s="190">
        <f t="shared" si="10"/>
        <v>32180.517846912498</v>
      </c>
      <c r="L32" s="189">
        <f t="shared" si="10"/>
        <v>31372.462504573748</v>
      </c>
      <c r="M32" s="189">
        <f t="shared" si="10"/>
        <v>35401.473322130973</v>
      </c>
      <c r="N32" s="190">
        <f t="shared" si="10"/>
        <v>38686.026586829692</v>
      </c>
      <c r="O32" s="189">
        <f t="shared" si="10"/>
        <v>40611.222528381062</v>
      </c>
      <c r="P32" s="190">
        <f t="shared" si="10"/>
        <v>42488.084149927476</v>
      </c>
      <c r="Q32" s="189">
        <f t="shared" si="10"/>
        <v>47452.891012693734</v>
      </c>
      <c r="R32" s="191">
        <f t="shared" si="10"/>
        <v>47452.891012693734</v>
      </c>
    </row>
    <row r="33" spans="1:18" x14ac:dyDescent="0.35">
      <c r="B33" s="194"/>
      <c r="C33" s="183"/>
      <c r="D33" s="194"/>
      <c r="E33" s="183"/>
      <c r="F33" s="194"/>
      <c r="G33" s="194"/>
      <c r="H33" s="194"/>
      <c r="I33" s="183"/>
      <c r="J33" s="194"/>
      <c r="K33" s="183"/>
      <c r="L33" s="194"/>
      <c r="M33" s="194"/>
      <c r="N33" s="183"/>
      <c r="O33" s="194"/>
      <c r="P33" s="183"/>
      <c r="Q33" s="194"/>
      <c r="R33" s="183"/>
    </row>
    <row r="34" spans="1:18" x14ac:dyDescent="0.35">
      <c r="A34" s="162" t="s">
        <v>117</v>
      </c>
      <c r="B34" s="189">
        <f t="shared" ref="B34:R34" si="11">+ROUND(B32/$B$6,2)</f>
        <v>14.7</v>
      </c>
      <c r="C34" s="190">
        <f t="shared" si="11"/>
        <v>14.9</v>
      </c>
      <c r="D34" s="189">
        <f t="shared" si="11"/>
        <v>15.67</v>
      </c>
      <c r="E34" s="190">
        <f t="shared" si="11"/>
        <v>16.21</v>
      </c>
      <c r="F34" s="189">
        <f t="shared" si="11"/>
        <v>16.89</v>
      </c>
      <c r="G34" s="189">
        <f t="shared" si="11"/>
        <v>17.41</v>
      </c>
      <c r="H34" s="189">
        <f t="shared" si="11"/>
        <v>17.940000000000001</v>
      </c>
      <c r="I34" s="190">
        <f t="shared" si="11"/>
        <v>18.66</v>
      </c>
      <c r="J34" s="189">
        <f t="shared" si="11"/>
        <v>18.97</v>
      </c>
      <c r="K34" s="190">
        <f t="shared" si="11"/>
        <v>20.79</v>
      </c>
      <c r="L34" s="189">
        <f t="shared" si="11"/>
        <v>20.27</v>
      </c>
      <c r="M34" s="189">
        <f t="shared" si="11"/>
        <v>22.87</v>
      </c>
      <c r="N34" s="190">
        <f t="shared" si="11"/>
        <v>24.99</v>
      </c>
      <c r="O34" s="189">
        <f t="shared" si="11"/>
        <v>26.23</v>
      </c>
      <c r="P34" s="190">
        <f t="shared" si="11"/>
        <v>27.45</v>
      </c>
      <c r="Q34" s="189">
        <f t="shared" si="11"/>
        <v>30.65</v>
      </c>
      <c r="R34" s="191">
        <f t="shared" si="11"/>
        <v>30.65</v>
      </c>
    </row>
    <row r="35" spans="1:18" x14ac:dyDescent="0.35">
      <c r="A35" s="162" t="s">
        <v>302</v>
      </c>
      <c r="B35" s="189">
        <f t="shared" ref="B35:R35" si="12">+B32-B21-B26</f>
        <v>22110.258145191739</v>
      </c>
      <c r="C35" s="190">
        <f t="shared" si="12"/>
        <v>22404.143915147662</v>
      </c>
      <c r="D35" s="189">
        <f t="shared" si="12"/>
        <v>23562.389213916911</v>
      </c>
      <c r="E35" s="190">
        <f t="shared" si="12"/>
        <v>24382.798258214301</v>
      </c>
      <c r="F35" s="189">
        <f t="shared" si="12"/>
        <v>25393.835910050668</v>
      </c>
      <c r="G35" s="189">
        <f t="shared" si="12"/>
        <v>26178.237328479587</v>
      </c>
      <c r="H35" s="189">
        <f t="shared" si="12"/>
        <v>26973.229225105108</v>
      </c>
      <c r="I35" s="190">
        <f t="shared" si="12"/>
        <v>28067.049114844976</v>
      </c>
      <c r="J35" s="189">
        <f t="shared" si="12"/>
        <v>28526.499360607908</v>
      </c>
      <c r="K35" s="190">
        <f t="shared" si="12"/>
        <v>31261.313846912501</v>
      </c>
      <c r="L35" s="189">
        <f t="shared" si="12"/>
        <v>30476.382904573748</v>
      </c>
      <c r="M35" s="189">
        <f t="shared" si="12"/>
        <v>34390.094122130977</v>
      </c>
      <c r="N35" s="190">
        <f t="shared" si="12"/>
        <v>37580.652186829691</v>
      </c>
      <c r="O35" s="189">
        <f t="shared" si="12"/>
        <v>39450.754128381057</v>
      </c>
      <c r="P35" s="190">
        <f t="shared" si="12"/>
        <v>41273.90494992747</v>
      </c>
      <c r="Q35" s="189">
        <f t="shared" si="12"/>
        <v>46096.63221269373</v>
      </c>
      <c r="R35" s="191">
        <f t="shared" si="12"/>
        <v>46096.63221269373</v>
      </c>
    </row>
    <row r="36" spans="1:18" x14ac:dyDescent="0.35">
      <c r="A36" s="162" t="s">
        <v>303</v>
      </c>
      <c r="B36" s="189">
        <f t="shared" ref="B36:R36" si="13">+ROUND(B35/$B$6,2)</f>
        <v>14.28</v>
      </c>
      <c r="C36" s="190">
        <f t="shared" si="13"/>
        <v>14.47</v>
      </c>
      <c r="D36" s="189">
        <f t="shared" si="13"/>
        <v>15.22</v>
      </c>
      <c r="E36" s="190">
        <f t="shared" si="13"/>
        <v>15.75</v>
      </c>
      <c r="F36" s="189">
        <f t="shared" si="13"/>
        <v>16.399999999999999</v>
      </c>
      <c r="G36" s="189">
        <f t="shared" si="13"/>
        <v>16.91</v>
      </c>
      <c r="H36" s="189">
        <f t="shared" si="13"/>
        <v>17.420000000000002</v>
      </c>
      <c r="I36" s="190">
        <f t="shared" si="13"/>
        <v>18.13</v>
      </c>
      <c r="J36" s="189">
        <f t="shared" si="13"/>
        <v>18.43</v>
      </c>
      <c r="K36" s="190">
        <f t="shared" si="13"/>
        <v>20.190000000000001</v>
      </c>
      <c r="L36" s="189">
        <f t="shared" si="13"/>
        <v>19.690000000000001</v>
      </c>
      <c r="M36" s="189">
        <f t="shared" si="13"/>
        <v>22.22</v>
      </c>
      <c r="N36" s="190">
        <f t="shared" si="13"/>
        <v>24.28</v>
      </c>
      <c r="O36" s="189">
        <f t="shared" si="13"/>
        <v>25.48</v>
      </c>
      <c r="P36" s="190">
        <f t="shared" si="13"/>
        <v>26.66</v>
      </c>
      <c r="Q36" s="189">
        <f t="shared" si="13"/>
        <v>29.78</v>
      </c>
      <c r="R36" s="191">
        <f t="shared" si="13"/>
        <v>29.78</v>
      </c>
    </row>
    <row r="37" spans="1:18" x14ac:dyDescent="0.35">
      <c r="A37" s="162"/>
      <c r="B37" s="189">
        <f t="shared" ref="B37:R37" si="14">+B36*0.039</f>
        <v>0.55691999999999997</v>
      </c>
      <c r="C37" s="190">
        <f t="shared" si="14"/>
        <v>0.56433</v>
      </c>
      <c r="D37" s="189">
        <f t="shared" si="14"/>
        <v>0.59358</v>
      </c>
      <c r="E37" s="190">
        <f t="shared" si="14"/>
        <v>0.61424999999999996</v>
      </c>
      <c r="F37" s="189">
        <f t="shared" si="14"/>
        <v>0.63959999999999995</v>
      </c>
      <c r="G37" s="189">
        <f t="shared" si="14"/>
        <v>0.65949000000000002</v>
      </c>
      <c r="H37" s="189">
        <f t="shared" si="14"/>
        <v>0.67938000000000009</v>
      </c>
      <c r="I37" s="190">
        <f t="shared" si="14"/>
        <v>0.70706999999999998</v>
      </c>
      <c r="J37" s="189">
        <f t="shared" si="14"/>
        <v>0.71877000000000002</v>
      </c>
      <c r="K37" s="190">
        <f t="shared" si="14"/>
        <v>0.78741000000000005</v>
      </c>
      <c r="L37" s="189">
        <f t="shared" si="14"/>
        <v>0.76791000000000009</v>
      </c>
      <c r="M37" s="189">
        <f t="shared" si="14"/>
        <v>0.86657999999999991</v>
      </c>
      <c r="N37" s="190">
        <f t="shared" si="14"/>
        <v>0.94692000000000009</v>
      </c>
      <c r="O37" s="189">
        <f t="shared" si="14"/>
        <v>0.99372000000000005</v>
      </c>
      <c r="P37" s="190">
        <f t="shared" si="14"/>
        <v>1.0397400000000001</v>
      </c>
      <c r="Q37" s="189">
        <f t="shared" si="14"/>
        <v>1.1614200000000001</v>
      </c>
      <c r="R37" s="191">
        <f t="shared" si="14"/>
        <v>1.1614200000000001</v>
      </c>
    </row>
    <row r="38" spans="1:18" x14ac:dyDescent="0.35">
      <c r="A38" s="162" t="s">
        <v>304</v>
      </c>
      <c r="B38" s="189">
        <f t="shared" ref="B38:R38" si="15">+ROUND(B36*$B$3,2)</f>
        <v>0</v>
      </c>
      <c r="C38" s="190">
        <f t="shared" si="15"/>
        <v>0</v>
      </c>
      <c r="D38" s="189">
        <f t="shared" si="15"/>
        <v>0</v>
      </c>
      <c r="E38" s="190">
        <f t="shared" si="15"/>
        <v>0</v>
      </c>
      <c r="F38" s="189">
        <f t="shared" si="15"/>
        <v>0</v>
      </c>
      <c r="G38" s="189">
        <f t="shared" si="15"/>
        <v>0</v>
      </c>
      <c r="H38" s="189">
        <f t="shared" si="15"/>
        <v>0</v>
      </c>
      <c r="I38" s="190">
        <f t="shared" si="15"/>
        <v>0</v>
      </c>
      <c r="J38" s="189">
        <f t="shared" si="15"/>
        <v>0</v>
      </c>
      <c r="K38" s="190">
        <f t="shared" si="15"/>
        <v>0</v>
      </c>
      <c r="L38" s="189">
        <f t="shared" si="15"/>
        <v>0</v>
      </c>
      <c r="M38" s="189">
        <f t="shared" si="15"/>
        <v>0</v>
      </c>
      <c r="N38" s="190">
        <f t="shared" si="15"/>
        <v>0</v>
      </c>
      <c r="O38" s="189">
        <f t="shared" si="15"/>
        <v>0</v>
      </c>
      <c r="P38" s="190">
        <f t="shared" si="15"/>
        <v>0</v>
      </c>
      <c r="Q38" s="189">
        <f t="shared" si="15"/>
        <v>0</v>
      </c>
      <c r="R38" s="191">
        <f t="shared" si="15"/>
        <v>0</v>
      </c>
    </row>
    <row r="39" spans="1:18" x14ac:dyDescent="0.35">
      <c r="A39" s="196" t="s">
        <v>305</v>
      </c>
      <c r="B39" s="197">
        <f t="shared" ref="B39:R39" si="16">+B38+B34</f>
        <v>14.7</v>
      </c>
      <c r="C39" s="198">
        <f t="shared" si="16"/>
        <v>14.9</v>
      </c>
      <c r="D39" s="197">
        <f t="shared" si="16"/>
        <v>15.67</v>
      </c>
      <c r="E39" s="198">
        <f t="shared" si="16"/>
        <v>16.21</v>
      </c>
      <c r="F39" s="197">
        <f t="shared" si="16"/>
        <v>16.89</v>
      </c>
      <c r="G39" s="197">
        <f t="shared" si="16"/>
        <v>17.41</v>
      </c>
      <c r="H39" s="197">
        <f t="shared" si="16"/>
        <v>17.940000000000001</v>
      </c>
      <c r="I39" s="198">
        <f t="shared" si="16"/>
        <v>18.66</v>
      </c>
      <c r="J39" s="197">
        <f t="shared" si="16"/>
        <v>18.97</v>
      </c>
      <c r="K39" s="198">
        <f t="shared" si="16"/>
        <v>20.79</v>
      </c>
      <c r="L39" s="197">
        <f t="shared" si="16"/>
        <v>20.27</v>
      </c>
      <c r="M39" s="197">
        <f t="shared" si="16"/>
        <v>22.87</v>
      </c>
      <c r="N39" s="198">
        <f t="shared" si="16"/>
        <v>24.99</v>
      </c>
      <c r="O39" s="197">
        <f t="shared" si="16"/>
        <v>26.23</v>
      </c>
      <c r="P39" s="198">
        <f t="shared" si="16"/>
        <v>27.45</v>
      </c>
      <c r="Q39" s="197">
        <f t="shared" si="16"/>
        <v>30.65</v>
      </c>
      <c r="R39" s="198">
        <f t="shared" si="16"/>
        <v>30.65</v>
      </c>
    </row>
    <row r="40" spans="1:18" x14ac:dyDescent="0.35">
      <c r="C40" s="183"/>
      <c r="D40" s="183"/>
      <c r="E40" s="183"/>
      <c r="F40" s="183"/>
      <c r="G40" s="183"/>
      <c r="H40" s="183"/>
      <c r="I40" s="183"/>
      <c r="J40" s="183"/>
      <c r="K40" s="183"/>
      <c r="L40" s="183"/>
      <c r="M40" s="183"/>
      <c r="N40" s="183"/>
      <c r="O40" s="183"/>
      <c r="P40" s="183"/>
      <c r="Q40" s="183"/>
      <c r="R40" s="183"/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B42" s="185"/>
      <c r="C42" s="185"/>
      <c r="D42" s="185"/>
      <c r="E42" s="185"/>
      <c r="F42" s="183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</row>
    <row r="43" spans="1:18" hidden="1" x14ac:dyDescent="0.35">
      <c r="C43" s="183"/>
      <c r="D43" s="183"/>
      <c r="E43" s="183"/>
      <c r="F43" s="183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</row>
    <row r="44" spans="1:18" s="199" customFormat="1" hidden="1" x14ac:dyDescent="0.35">
      <c r="B44" s="200" t="s">
        <v>280</v>
      </c>
    </row>
    <row r="45" spans="1:18" s="199" customFormat="1" hidden="1" x14ac:dyDescent="0.35">
      <c r="B45" s="200" t="s">
        <v>280</v>
      </c>
    </row>
    <row r="46" spans="1:18" s="199" customFormat="1" hidden="1" x14ac:dyDescent="0.35">
      <c r="B46" s="200"/>
    </row>
    <row r="47" spans="1:18" s="199" customFormat="1" hidden="1" x14ac:dyDescent="0.35">
      <c r="B47" s="200" t="s">
        <v>134</v>
      </c>
      <c r="C47" s="201">
        <f>4.97%</f>
        <v>4.9699999999999994E-2</v>
      </c>
    </row>
    <row r="48" spans="1:18" s="199" customFormat="1" hidden="1" x14ac:dyDescent="0.35">
      <c r="B48" s="200" t="s">
        <v>135</v>
      </c>
      <c r="C48" s="201">
        <f>4.4%</f>
        <v>4.4000000000000004E-2</v>
      </c>
    </row>
    <row r="49" spans="1:18" s="199" customFormat="1" hidden="1" x14ac:dyDescent="0.35">
      <c r="B49" s="200" t="s">
        <v>136</v>
      </c>
      <c r="C49" s="202">
        <v>0</v>
      </c>
    </row>
    <row r="50" spans="1:18" s="199" customFormat="1" hidden="1" x14ac:dyDescent="0.35">
      <c r="B50" s="200" t="s">
        <v>2</v>
      </c>
      <c r="C50" s="202">
        <v>0</v>
      </c>
    </row>
    <row r="51" spans="1:18" s="199" customFormat="1" hidden="1" x14ac:dyDescent="0.35">
      <c r="B51" s="200"/>
    </row>
    <row r="52" spans="1:18" s="199" customFormat="1" hidden="1" x14ac:dyDescent="0.35">
      <c r="B52" s="200" t="s">
        <v>64</v>
      </c>
    </row>
    <row r="53" spans="1:18" s="199" customFormat="1" hidden="1" x14ac:dyDescent="0.35">
      <c r="B53" s="200" t="s">
        <v>87</v>
      </c>
    </row>
    <row r="54" spans="1:18" s="199" customFormat="1" hidden="1" x14ac:dyDescent="0.35">
      <c r="B54" s="200"/>
    </row>
    <row r="55" spans="1:18" s="199" customFormat="1" hidden="1" x14ac:dyDescent="0.35">
      <c r="A55" s="199" t="s">
        <v>306</v>
      </c>
      <c r="B55" s="203">
        <v>2636.88</v>
      </c>
      <c r="C55" s="204">
        <v>2672.03</v>
      </c>
      <c r="D55" s="203">
        <v>2810.54</v>
      </c>
      <c r="E55" s="204">
        <v>2908.65</v>
      </c>
      <c r="F55" s="203">
        <v>3029.55</v>
      </c>
      <c r="G55" s="203">
        <v>3123.35</v>
      </c>
      <c r="H55" s="203">
        <v>3218.42</v>
      </c>
      <c r="I55" s="204">
        <v>3349.23</v>
      </c>
      <c r="J55" s="203">
        <v>3404.17</v>
      </c>
      <c r="K55" s="204">
        <v>3731.21</v>
      </c>
      <c r="L55" s="203">
        <v>3637.35</v>
      </c>
      <c r="M55" s="203">
        <v>4105.37</v>
      </c>
      <c r="N55" s="204">
        <v>4486.91</v>
      </c>
      <c r="O55" s="203">
        <v>4710.55</v>
      </c>
      <c r="P55" s="204">
        <v>4928.57</v>
      </c>
      <c r="Q55" s="203">
        <v>5505.3</v>
      </c>
      <c r="R55" s="205">
        <v>5505.3</v>
      </c>
    </row>
    <row r="56" spans="1:18" hidden="1" x14ac:dyDescent="0.35"/>
    <row r="58" spans="1:18" x14ac:dyDescent="0.35">
      <c r="B58" s="180"/>
    </row>
    <row r="60" spans="1:18" x14ac:dyDescent="0.35">
      <c r="B60" s="180"/>
      <c r="C60" s="183"/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3"/>
      <c r="Q60" s="183"/>
      <c r="R60" s="183"/>
    </row>
    <row r="61" spans="1:18" x14ac:dyDescent="0.35">
      <c r="B61" s="180"/>
    </row>
    <row r="66" spans="2:18" x14ac:dyDescent="0.35">
      <c r="B66" s="180"/>
      <c r="C66" s="180"/>
      <c r="D66" s="180"/>
      <c r="E66" s="180"/>
      <c r="F66" s="180"/>
      <c r="G66" s="180"/>
      <c r="H66" s="180"/>
      <c r="I66" s="180"/>
      <c r="J66" s="180"/>
      <c r="K66" s="180"/>
      <c r="L66" s="180"/>
      <c r="M66" s="180"/>
      <c r="N66" s="180"/>
      <c r="O66" s="180"/>
      <c r="P66" s="180"/>
      <c r="Q66" s="180"/>
      <c r="R66" s="180"/>
    </row>
  </sheetData>
  <conditionalFormatting sqref="B2">
    <cfRule type="expression" dxfId="3" priority="2">
      <formula>B1="Generale"</formula>
    </cfRule>
  </conditionalFormatting>
  <dataValidations count="2">
    <dataValidation type="list" allowBlank="1" showInputMessage="1" showErrorMessage="1" sqref="B1" xr:uid="{00000000-0002-0000-0400-000000000000}">
      <formula1>$B$44:$B$45</formula1>
      <formula2>0</formula2>
    </dataValidation>
    <dataValidation type="list" allowBlank="1" showInputMessage="1" showErrorMessage="1" sqref="B5" xr:uid="{00000000-0002-0000-0400-000001000000}">
      <formula1>$B$52:$B$53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9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16.1796875" customWidth="1"/>
    <col min="4" max="4" width="9.54296875" customWidth="1"/>
    <col min="5" max="5" width="11.1796875" customWidth="1"/>
    <col min="8" max="8" width="11.453125" customWidth="1"/>
    <col min="11" max="11" width="10.1796875" customWidth="1"/>
  </cols>
  <sheetData>
    <row r="1" spans="1:13" x14ac:dyDescent="0.35">
      <c r="E1" s="348" t="s">
        <v>307</v>
      </c>
      <c r="F1" s="348"/>
      <c r="G1" s="348"/>
      <c r="H1" s="206">
        <v>0</v>
      </c>
    </row>
    <row r="2" spans="1:13" x14ac:dyDescent="0.35">
      <c r="E2" s="348" t="s">
        <v>308</v>
      </c>
      <c r="F2" s="348"/>
      <c r="G2" s="348"/>
      <c r="H2" s="207">
        <v>26</v>
      </c>
    </row>
    <row r="4" spans="1:13" x14ac:dyDescent="0.35">
      <c r="A4" s="144" t="s">
        <v>309</v>
      </c>
      <c r="J4" s="349" t="s">
        <v>310</v>
      </c>
      <c r="K4" s="349"/>
      <c r="L4" s="349"/>
      <c r="M4" s="349"/>
    </row>
    <row r="5" spans="1:13" ht="58" x14ac:dyDescent="0.35">
      <c r="A5" s="208"/>
      <c r="B5" s="209" t="s">
        <v>311</v>
      </c>
      <c r="C5" s="210" t="s">
        <v>312</v>
      </c>
      <c r="D5" s="211" t="s">
        <v>313</v>
      </c>
      <c r="E5" s="211" t="s">
        <v>314</v>
      </c>
      <c r="F5" s="211" t="s">
        <v>315</v>
      </c>
      <c r="G5" s="211" t="s">
        <v>292</v>
      </c>
      <c r="H5" s="212" t="s">
        <v>316</v>
      </c>
      <c r="I5" s="213" t="s">
        <v>317</v>
      </c>
      <c r="J5" s="214" t="s">
        <v>318</v>
      </c>
      <c r="K5" s="215" t="s">
        <v>319</v>
      </c>
      <c r="L5" s="216" t="s">
        <v>320</v>
      </c>
      <c r="M5" s="217" t="s">
        <v>321</v>
      </c>
    </row>
    <row r="6" spans="1:13" x14ac:dyDescent="0.35">
      <c r="A6" s="163" t="s">
        <v>322</v>
      </c>
      <c r="B6" s="218">
        <v>28342.720000000001</v>
      </c>
      <c r="C6" s="219">
        <f t="shared" ref="C6:D28" si="0">+ROUND(B6/12,2)</f>
        <v>2361.89</v>
      </c>
      <c r="D6" s="219">
        <f t="shared" si="0"/>
        <v>196.82</v>
      </c>
      <c r="E6" s="219">
        <f t="shared" ref="E6:E28" si="1">+D6</f>
        <v>196.82</v>
      </c>
      <c r="F6" s="220">
        <f t="shared" ref="F6:F28" si="2">+E6+D6+C6</f>
        <v>2755.5299999999997</v>
      </c>
      <c r="G6" s="220">
        <f t="shared" ref="G6:G28" si="3">+ROUND(F6*35.3/100,2)</f>
        <v>972.7</v>
      </c>
      <c r="H6" s="221">
        <f t="shared" ref="H6:H28" si="4">+$H$2*$H$1</f>
        <v>0</v>
      </c>
      <c r="I6" s="222">
        <f t="shared" ref="I6:I28" si="5">+G6+F6+H6</f>
        <v>3728.2299999999996</v>
      </c>
      <c r="J6" s="189">
        <f t="shared" ref="J6:J28" si="6">+ROUND(I6/156,2)</f>
        <v>23.9</v>
      </c>
      <c r="K6" s="191">
        <f t="shared" ref="K6:K28" si="7">ROUND((C6*1.353)/156*1.15,2)</f>
        <v>23.56</v>
      </c>
      <c r="L6" s="220">
        <f t="shared" ref="L6:L28" si="8">ROUND((C6*1.353)/156*1.3,2)</f>
        <v>26.63</v>
      </c>
      <c r="M6" s="222">
        <f t="shared" ref="M6:M28" si="9">ROUND((C6*1.353)/156*1.5,2)</f>
        <v>30.73</v>
      </c>
    </row>
    <row r="7" spans="1:13" x14ac:dyDescent="0.35">
      <c r="A7" s="163" t="s">
        <v>323</v>
      </c>
      <c r="B7" s="218">
        <v>26510.86</v>
      </c>
      <c r="C7" s="219">
        <f t="shared" si="0"/>
        <v>2209.2399999999998</v>
      </c>
      <c r="D7" s="219">
        <f t="shared" si="0"/>
        <v>184.1</v>
      </c>
      <c r="E7" s="219">
        <f t="shared" si="1"/>
        <v>184.1</v>
      </c>
      <c r="F7" s="220">
        <f t="shared" si="2"/>
        <v>2577.4399999999996</v>
      </c>
      <c r="G7" s="220">
        <f t="shared" si="3"/>
        <v>909.84</v>
      </c>
      <c r="H7" s="221">
        <f t="shared" si="4"/>
        <v>0</v>
      </c>
      <c r="I7" s="222">
        <f t="shared" si="5"/>
        <v>3487.2799999999997</v>
      </c>
      <c r="J7" s="189">
        <f t="shared" si="6"/>
        <v>22.35</v>
      </c>
      <c r="K7" s="191">
        <f t="shared" si="7"/>
        <v>22.04</v>
      </c>
      <c r="L7" s="220">
        <f t="shared" si="8"/>
        <v>24.91</v>
      </c>
      <c r="M7" s="222">
        <f t="shared" si="9"/>
        <v>28.74</v>
      </c>
    </row>
    <row r="8" spans="1:13" x14ac:dyDescent="0.35">
      <c r="A8" s="223" t="s">
        <v>324</v>
      </c>
      <c r="B8" s="224">
        <v>25377.759999999998</v>
      </c>
      <c r="C8" s="225">
        <f t="shared" si="0"/>
        <v>2114.81</v>
      </c>
      <c r="D8" s="225">
        <f t="shared" si="0"/>
        <v>176.23</v>
      </c>
      <c r="E8" s="225">
        <f t="shared" si="1"/>
        <v>176.23</v>
      </c>
      <c r="F8" s="226">
        <f t="shared" si="2"/>
        <v>2467.27</v>
      </c>
      <c r="G8" s="226">
        <f t="shared" si="3"/>
        <v>870.95</v>
      </c>
      <c r="H8" s="227">
        <f t="shared" si="4"/>
        <v>0</v>
      </c>
      <c r="I8" s="228">
        <f t="shared" si="5"/>
        <v>3338.2200000000003</v>
      </c>
      <c r="J8" s="229">
        <f t="shared" si="6"/>
        <v>21.4</v>
      </c>
      <c r="K8" s="230">
        <f t="shared" si="7"/>
        <v>21.09</v>
      </c>
      <c r="L8" s="226">
        <f t="shared" si="8"/>
        <v>23.84</v>
      </c>
      <c r="M8" s="228">
        <f t="shared" si="9"/>
        <v>27.51</v>
      </c>
    </row>
    <row r="9" spans="1:13" x14ac:dyDescent="0.35">
      <c r="A9" s="231" t="s">
        <v>325</v>
      </c>
      <c r="B9" s="232">
        <v>24338.14</v>
      </c>
      <c r="C9" s="233">
        <f t="shared" si="0"/>
        <v>2028.18</v>
      </c>
      <c r="D9" s="233">
        <f t="shared" si="0"/>
        <v>169.02</v>
      </c>
      <c r="E9" s="233">
        <f t="shared" si="1"/>
        <v>169.02</v>
      </c>
      <c r="F9" s="234">
        <f t="shared" si="2"/>
        <v>2366.2200000000003</v>
      </c>
      <c r="G9" s="234">
        <f t="shared" si="3"/>
        <v>835.28</v>
      </c>
      <c r="H9" s="235">
        <f t="shared" si="4"/>
        <v>0</v>
      </c>
      <c r="I9" s="236">
        <f t="shared" si="5"/>
        <v>3201.5</v>
      </c>
      <c r="J9" s="237">
        <f t="shared" si="6"/>
        <v>20.52</v>
      </c>
      <c r="K9" s="238">
        <f t="shared" si="7"/>
        <v>20.23</v>
      </c>
      <c r="L9" s="234">
        <f t="shared" si="8"/>
        <v>22.87</v>
      </c>
      <c r="M9" s="236">
        <f t="shared" si="9"/>
        <v>26.39</v>
      </c>
    </row>
    <row r="10" spans="1:13" x14ac:dyDescent="0.35">
      <c r="A10" s="195" t="s">
        <v>326</v>
      </c>
      <c r="B10" s="239">
        <v>22203.89</v>
      </c>
      <c r="C10" s="240">
        <f t="shared" si="0"/>
        <v>1850.32</v>
      </c>
      <c r="D10" s="240">
        <f t="shared" si="0"/>
        <v>154.19</v>
      </c>
      <c r="E10" s="240">
        <f t="shared" si="1"/>
        <v>154.19</v>
      </c>
      <c r="F10" s="241">
        <f t="shared" si="2"/>
        <v>2158.6999999999998</v>
      </c>
      <c r="G10" s="241">
        <f t="shared" si="3"/>
        <v>762.02</v>
      </c>
      <c r="H10" s="242">
        <f t="shared" si="4"/>
        <v>0</v>
      </c>
      <c r="I10" s="243">
        <f t="shared" si="5"/>
        <v>2920.72</v>
      </c>
      <c r="J10" s="194">
        <f t="shared" si="6"/>
        <v>18.72</v>
      </c>
      <c r="K10" s="244">
        <f t="shared" si="7"/>
        <v>18.46</v>
      </c>
      <c r="L10" s="241">
        <f t="shared" si="8"/>
        <v>20.86</v>
      </c>
      <c r="M10" s="243">
        <f t="shared" si="9"/>
        <v>24.07</v>
      </c>
    </row>
    <row r="11" spans="1:13" x14ac:dyDescent="0.35">
      <c r="A11" s="231" t="s">
        <v>327</v>
      </c>
      <c r="B11" s="232">
        <v>21166.71</v>
      </c>
      <c r="C11" s="233">
        <f t="shared" si="0"/>
        <v>1763.89</v>
      </c>
      <c r="D11" s="233">
        <f t="shared" si="0"/>
        <v>146.99</v>
      </c>
      <c r="E11" s="233">
        <f t="shared" si="1"/>
        <v>146.99</v>
      </c>
      <c r="F11" s="234">
        <f t="shared" si="2"/>
        <v>2057.87</v>
      </c>
      <c r="G11" s="234">
        <f t="shared" si="3"/>
        <v>726.43</v>
      </c>
      <c r="H11" s="235">
        <f t="shared" si="4"/>
        <v>0</v>
      </c>
      <c r="I11" s="236">
        <f t="shared" si="5"/>
        <v>2784.2999999999997</v>
      </c>
      <c r="J11" s="237">
        <f t="shared" si="6"/>
        <v>17.850000000000001</v>
      </c>
      <c r="K11" s="238">
        <f t="shared" si="7"/>
        <v>17.59</v>
      </c>
      <c r="L11" s="234">
        <f t="shared" si="8"/>
        <v>19.89</v>
      </c>
      <c r="M11" s="236">
        <f t="shared" si="9"/>
        <v>22.95</v>
      </c>
    </row>
    <row r="12" spans="1:13" x14ac:dyDescent="0.35">
      <c r="A12" s="245" t="s">
        <v>328</v>
      </c>
      <c r="B12" s="246">
        <v>21901.32</v>
      </c>
      <c r="C12" s="247">
        <f t="shared" si="0"/>
        <v>1825.11</v>
      </c>
      <c r="D12" s="247">
        <f t="shared" si="0"/>
        <v>152.09</v>
      </c>
      <c r="E12" s="247">
        <f t="shared" si="1"/>
        <v>152.09</v>
      </c>
      <c r="F12" s="248">
        <f t="shared" si="2"/>
        <v>2129.29</v>
      </c>
      <c r="G12" s="248">
        <f t="shared" si="3"/>
        <v>751.64</v>
      </c>
      <c r="H12" s="249">
        <f t="shared" si="4"/>
        <v>0</v>
      </c>
      <c r="I12" s="250">
        <f t="shared" si="5"/>
        <v>2880.93</v>
      </c>
      <c r="J12" s="251">
        <f t="shared" si="6"/>
        <v>18.47</v>
      </c>
      <c r="K12" s="252">
        <f t="shared" si="7"/>
        <v>18.2</v>
      </c>
      <c r="L12" s="248">
        <f t="shared" si="8"/>
        <v>20.58</v>
      </c>
      <c r="M12" s="250">
        <f t="shared" si="9"/>
        <v>23.74</v>
      </c>
    </row>
    <row r="13" spans="1:13" x14ac:dyDescent="0.35">
      <c r="A13" s="163" t="s">
        <v>329</v>
      </c>
      <c r="B13" s="218">
        <v>21120.11</v>
      </c>
      <c r="C13" s="219">
        <f t="shared" si="0"/>
        <v>1760.01</v>
      </c>
      <c r="D13" s="219">
        <f t="shared" si="0"/>
        <v>146.66999999999999</v>
      </c>
      <c r="E13" s="219">
        <f t="shared" si="1"/>
        <v>146.66999999999999</v>
      </c>
      <c r="F13" s="220">
        <f t="shared" si="2"/>
        <v>2053.35</v>
      </c>
      <c r="G13" s="220">
        <f t="shared" si="3"/>
        <v>724.83</v>
      </c>
      <c r="H13" s="221">
        <f t="shared" si="4"/>
        <v>0</v>
      </c>
      <c r="I13" s="222">
        <f t="shared" si="5"/>
        <v>2778.18</v>
      </c>
      <c r="J13" s="189">
        <f t="shared" si="6"/>
        <v>17.809999999999999</v>
      </c>
      <c r="K13" s="191">
        <f t="shared" si="7"/>
        <v>17.55</v>
      </c>
      <c r="L13" s="220">
        <f t="shared" si="8"/>
        <v>19.84</v>
      </c>
      <c r="M13" s="222">
        <f t="shared" si="9"/>
        <v>22.9</v>
      </c>
    </row>
    <row r="14" spans="1:13" x14ac:dyDescent="0.35">
      <c r="A14" s="163" t="s">
        <v>330</v>
      </c>
      <c r="B14" s="218">
        <v>20472.62</v>
      </c>
      <c r="C14" s="219">
        <f t="shared" si="0"/>
        <v>1706.05</v>
      </c>
      <c r="D14" s="219">
        <f t="shared" si="0"/>
        <v>142.16999999999999</v>
      </c>
      <c r="E14" s="219">
        <f t="shared" si="1"/>
        <v>142.16999999999999</v>
      </c>
      <c r="F14" s="220">
        <f t="shared" si="2"/>
        <v>1990.3899999999999</v>
      </c>
      <c r="G14" s="220">
        <f t="shared" si="3"/>
        <v>702.61</v>
      </c>
      <c r="H14" s="221">
        <f t="shared" si="4"/>
        <v>0</v>
      </c>
      <c r="I14" s="222">
        <f t="shared" si="5"/>
        <v>2693</v>
      </c>
      <c r="J14" s="189">
        <f t="shared" si="6"/>
        <v>17.260000000000002</v>
      </c>
      <c r="K14" s="191">
        <f t="shared" si="7"/>
        <v>17.02</v>
      </c>
      <c r="L14" s="220">
        <f t="shared" si="8"/>
        <v>19.239999999999998</v>
      </c>
      <c r="M14" s="222">
        <f t="shared" si="9"/>
        <v>22.2</v>
      </c>
    </row>
    <row r="15" spans="1:13" x14ac:dyDescent="0.35">
      <c r="A15" s="223" t="s">
        <v>331</v>
      </c>
      <c r="B15" s="224">
        <v>19917.86</v>
      </c>
      <c r="C15" s="225">
        <f t="shared" si="0"/>
        <v>1659.82</v>
      </c>
      <c r="D15" s="225">
        <f t="shared" si="0"/>
        <v>138.32</v>
      </c>
      <c r="E15" s="225">
        <f t="shared" si="1"/>
        <v>138.32</v>
      </c>
      <c r="F15" s="226">
        <f t="shared" si="2"/>
        <v>1936.46</v>
      </c>
      <c r="G15" s="226">
        <f t="shared" si="3"/>
        <v>683.57</v>
      </c>
      <c r="H15" s="227">
        <f t="shared" si="4"/>
        <v>0</v>
      </c>
      <c r="I15" s="228">
        <f t="shared" si="5"/>
        <v>2620.0300000000002</v>
      </c>
      <c r="J15" s="229">
        <f t="shared" si="6"/>
        <v>16.8</v>
      </c>
      <c r="K15" s="230">
        <f t="shared" si="7"/>
        <v>16.559999999999999</v>
      </c>
      <c r="L15" s="226">
        <f t="shared" si="8"/>
        <v>18.71</v>
      </c>
      <c r="M15" s="228">
        <f t="shared" si="9"/>
        <v>21.59</v>
      </c>
    </row>
    <row r="16" spans="1:13" x14ac:dyDescent="0.35">
      <c r="A16" s="231" t="s">
        <v>332</v>
      </c>
      <c r="B16" s="232">
        <v>19454.150000000001</v>
      </c>
      <c r="C16" s="233">
        <f t="shared" si="0"/>
        <v>1621.18</v>
      </c>
      <c r="D16" s="233">
        <f t="shared" si="0"/>
        <v>135.1</v>
      </c>
      <c r="E16" s="233">
        <f t="shared" si="1"/>
        <v>135.1</v>
      </c>
      <c r="F16" s="234">
        <f t="shared" si="2"/>
        <v>1891.38</v>
      </c>
      <c r="G16" s="234">
        <f t="shared" si="3"/>
        <v>667.66</v>
      </c>
      <c r="H16" s="235">
        <f t="shared" si="4"/>
        <v>0</v>
      </c>
      <c r="I16" s="236">
        <f t="shared" si="5"/>
        <v>2559.04</v>
      </c>
      <c r="J16" s="237">
        <f t="shared" si="6"/>
        <v>16.399999999999999</v>
      </c>
      <c r="K16" s="238">
        <f t="shared" si="7"/>
        <v>16.170000000000002</v>
      </c>
      <c r="L16" s="234">
        <f t="shared" si="8"/>
        <v>18.28</v>
      </c>
      <c r="M16" s="236">
        <f t="shared" si="9"/>
        <v>21.09</v>
      </c>
    </row>
    <row r="17" spans="1:13" x14ac:dyDescent="0.35">
      <c r="A17" s="245" t="s">
        <v>333</v>
      </c>
      <c r="B17" s="246">
        <v>19878.400000000001</v>
      </c>
      <c r="C17" s="247">
        <f t="shared" si="0"/>
        <v>1656.53</v>
      </c>
      <c r="D17" s="247">
        <f t="shared" si="0"/>
        <v>138.04</v>
      </c>
      <c r="E17" s="247">
        <f t="shared" si="1"/>
        <v>138.04</v>
      </c>
      <c r="F17" s="248">
        <f t="shared" si="2"/>
        <v>1932.61</v>
      </c>
      <c r="G17" s="248">
        <f t="shared" si="3"/>
        <v>682.21</v>
      </c>
      <c r="H17" s="249">
        <f t="shared" si="4"/>
        <v>0</v>
      </c>
      <c r="I17" s="250">
        <f t="shared" si="5"/>
        <v>2614.8199999999997</v>
      </c>
      <c r="J17" s="251">
        <f t="shared" si="6"/>
        <v>16.760000000000002</v>
      </c>
      <c r="K17" s="252">
        <f t="shared" si="7"/>
        <v>16.52</v>
      </c>
      <c r="L17" s="248">
        <f t="shared" si="8"/>
        <v>18.68</v>
      </c>
      <c r="M17" s="250">
        <f t="shared" si="9"/>
        <v>21.55</v>
      </c>
    </row>
    <row r="18" spans="1:13" x14ac:dyDescent="0.35">
      <c r="A18" s="163" t="s">
        <v>334</v>
      </c>
      <c r="B18" s="218">
        <v>19143.580000000002</v>
      </c>
      <c r="C18" s="219">
        <f t="shared" si="0"/>
        <v>1595.3</v>
      </c>
      <c r="D18" s="219">
        <f t="shared" si="0"/>
        <v>132.94</v>
      </c>
      <c r="E18" s="219">
        <f t="shared" si="1"/>
        <v>132.94</v>
      </c>
      <c r="F18" s="220">
        <f t="shared" si="2"/>
        <v>1861.1799999999998</v>
      </c>
      <c r="G18" s="220">
        <f t="shared" si="3"/>
        <v>657</v>
      </c>
      <c r="H18" s="221">
        <f t="shared" si="4"/>
        <v>0</v>
      </c>
      <c r="I18" s="222">
        <f t="shared" si="5"/>
        <v>2518.1799999999998</v>
      </c>
      <c r="J18" s="189">
        <f t="shared" si="6"/>
        <v>16.14</v>
      </c>
      <c r="K18" s="191">
        <f t="shared" si="7"/>
        <v>15.91</v>
      </c>
      <c r="L18" s="220">
        <f t="shared" si="8"/>
        <v>17.989999999999998</v>
      </c>
      <c r="M18" s="222">
        <f t="shared" si="9"/>
        <v>20.75</v>
      </c>
    </row>
    <row r="19" spans="1:13" x14ac:dyDescent="0.35">
      <c r="A19" s="163" t="s">
        <v>335</v>
      </c>
      <c r="B19" s="218">
        <v>18808.79</v>
      </c>
      <c r="C19" s="219">
        <f t="shared" si="0"/>
        <v>1567.4</v>
      </c>
      <c r="D19" s="219">
        <f t="shared" si="0"/>
        <v>130.62</v>
      </c>
      <c r="E19" s="219">
        <f t="shared" si="1"/>
        <v>130.62</v>
      </c>
      <c r="F19" s="220">
        <f t="shared" si="2"/>
        <v>1828.64</v>
      </c>
      <c r="G19" s="220">
        <f t="shared" si="3"/>
        <v>645.51</v>
      </c>
      <c r="H19" s="221">
        <f t="shared" si="4"/>
        <v>0</v>
      </c>
      <c r="I19" s="222">
        <f t="shared" si="5"/>
        <v>2474.15</v>
      </c>
      <c r="J19" s="189">
        <f t="shared" si="6"/>
        <v>15.86</v>
      </c>
      <c r="K19" s="191">
        <f t="shared" si="7"/>
        <v>15.63</v>
      </c>
      <c r="L19" s="220">
        <f t="shared" si="8"/>
        <v>17.670000000000002</v>
      </c>
      <c r="M19" s="222">
        <f t="shared" si="9"/>
        <v>20.39</v>
      </c>
    </row>
    <row r="20" spans="1:13" x14ac:dyDescent="0.35">
      <c r="A20" s="163" t="s">
        <v>336</v>
      </c>
      <c r="B20" s="218">
        <v>18496.61</v>
      </c>
      <c r="C20" s="219">
        <f t="shared" si="0"/>
        <v>1541.38</v>
      </c>
      <c r="D20" s="219">
        <f t="shared" si="0"/>
        <v>128.44999999999999</v>
      </c>
      <c r="E20" s="219">
        <f t="shared" si="1"/>
        <v>128.44999999999999</v>
      </c>
      <c r="F20" s="220">
        <f t="shared" si="2"/>
        <v>1798.2800000000002</v>
      </c>
      <c r="G20" s="220">
        <f t="shared" si="3"/>
        <v>634.79</v>
      </c>
      <c r="H20" s="221">
        <f t="shared" si="4"/>
        <v>0</v>
      </c>
      <c r="I20" s="222">
        <f t="shared" si="5"/>
        <v>2433.0700000000002</v>
      </c>
      <c r="J20" s="189">
        <f t="shared" si="6"/>
        <v>15.6</v>
      </c>
      <c r="K20" s="191">
        <f t="shared" si="7"/>
        <v>15.37</v>
      </c>
      <c r="L20" s="220">
        <f t="shared" si="8"/>
        <v>17.38</v>
      </c>
      <c r="M20" s="222">
        <f t="shared" si="9"/>
        <v>20.05</v>
      </c>
    </row>
    <row r="21" spans="1:13" s="144" customFormat="1" x14ac:dyDescent="0.35">
      <c r="A21" s="231" t="s">
        <v>337</v>
      </c>
      <c r="B21" s="232">
        <v>18229.919999999998</v>
      </c>
      <c r="C21" s="233">
        <f t="shared" si="0"/>
        <v>1519.16</v>
      </c>
      <c r="D21" s="233">
        <f t="shared" si="0"/>
        <v>126.6</v>
      </c>
      <c r="E21" s="233">
        <f t="shared" si="1"/>
        <v>126.6</v>
      </c>
      <c r="F21" s="234">
        <f t="shared" si="2"/>
        <v>1772.3600000000001</v>
      </c>
      <c r="G21" s="234">
        <f t="shared" si="3"/>
        <v>625.64</v>
      </c>
      <c r="H21" s="235">
        <f t="shared" si="4"/>
        <v>0</v>
      </c>
      <c r="I21" s="236">
        <f t="shared" si="5"/>
        <v>2398</v>
      </c>
      <c r="J21" s="237">
        <f t="shared" si="6"/>
        <v>15.37</v>
      </c>
      <c r="K21" s="238">
        <f t="shared" si="7"/>
        <v>15.15</v>
      </c>
      <c r="L21" s="234">
        <f t="shared" si="8"/>
        <v>17.13</v>
      </c>
      <c r="M21" s="236">
        <f t="shared" si="9"/>
        <v>19.760000000000002</v>
      </c>
    </row>
    <row r="22" spans="1:13" x14ac:dyDescent="0.35">
      <c r="A22" s="223" t="s">
        <v>338</v>
      </c>
      <c r="B22" s="224">
        <v>17531.61</v>
      </c>
      <c r="C22" s="225">
        <f t="shared" si="0"/>
        <v>1460.97</v>
      </c>
      <c r="D22" s="225">
        <f t="shared" si="0"/>
        <v>121.75</v>
      </c>
      <c r="E22" s="225">
        <f t="shared" si="1"/>
        <v>121.75</v>
      </c>
      <c r="F22" s="226">
        <f t="shared" si="2"/>
        <v>1704.47</v>
      </c>
      <c r="G22" s="226">
        <f t="shared" si="3"/>
        <v>601.67999999999995</v>
      </c>
      <c r="H22" s="227">
        <f t="shared" si="4"/>
        <v>0</v>
      </c>
      <c r="I22" s="228">
        <f t="shared" si="5"/>
        <v>2306.15</v>
      </c>
      <c r="J22" s="229">
        <f t="shared" si="6"/>
        <v>14.78</v>
      </c>
      <c r="K22" s="230">
        <f t="shared" si="7"/>
        <v>14.57</v>
      </c>
      <c r="L22" s="226">
        <f t="shared" si="8"/>
        <v>16.47</v>
      </c>
      <c r="M22" s="228">
        <f t="shared" si="9"/>
        <v>19.010000000000002</v>
      </c>
    </row>
    <row r="23" spans="1:13" x14ac:dyDescent="0.35">
      <c r="A23" s="231" t="s">
        <v>339</v>
      </c>
      <c r="B23" s="232">
        <v>17244.71</v>
      </c>
      <c r="C23" s="233">
        <f t="shared" si="0"/>
        <v>1437.06</v>
      </c>
      <c r="D23" s="233">
        <f t="shared" si="0"/>
        <v>119.76</v>
      </c>
      <c r="E23" s="233">
        <f t="shared" si="1"/>
        <v>119.76</v>
      </c>
      <c r="F23" s="234">
        <f t="shared" si="2"/>
        <v>1676.58</v>
      </c>
      <c r="G23" s="234">
        <f t="shared" si="3"/>
        <v>591.83000000000004</v>
      </c>
      <c r="H23" s="235">
        <f t="shared" si="4"/>
        <v>0</v>
      </c>
      <c r="I23" s="236">
        <f t="shared" si="5"/>
        <v>2268.41</v>
      </c>
      <c r="J23" s="237">
        <f t="shared" si="6"/>
        <v>14.54</v>
      </c>
      <c r="K23" s="238">
        <f t="shared" si="7"/>
        <v>14.33</v>
      </c>
      <c r="L23" s="234">
        <f t="shared" si="8"/>
        <v>16.2</v>
      </c>
      <c r="M23" s="236">
        <f t="shared" si="9"/>
        <v>18.7</v>
      </c>
    </row>
    <row r="24" spans="1:13" x14ac:dyDescent="0.35">
      <c r="A24" s="245" t="s">
        <v>340</v>
      </c>
      <c r="B24" s="246">
        <v>17539.650000000001</v>
      </c>
      <c r="C24" s="247">
        <f t="shared" si="0"/>
        <v>1461.64</v>
      </c>
      <c r="D24" s="247">
        <f t="shared" si="0"/>
        <v>121.8</v>
      </c>
      <c r="E24" s="247">
        <f t="shared" si="1"/>
        <v>121.8</v>
      </c>
      <c r="F24" s="248">
        <f t="shared" si="2"/>
        <v>1705.24</v>
      </c>
      <c r="G24" s="248">
        <f t="shared" si="3"/>
        <v>601.95000000000005</v>
      </c>
      <c r="H24" s="249">
        <f t="shared" si="4"/>
        <v>0</v>
      </c>
      <c r="I24" s="250">
        <f t="shared" si="5"/>
        <v>2307.19</v>
      </c>
      <c r="J24" s="251">
        <f t="shared" si="6"/>
        <v>14.79</v>
      </c>
      <c r="K24" s="252">
        <f t="shared" si="7"/>
        <v>14.58</v>
      </c>
      <c r="L24" s="248">
        <f t="shared" si="8"/>
        <v>16.48</v>
      </c>
      <c r="M24" s="250">
        <f t="shared" si="9"/>
        <v>19.02</v>
      </c>
    </row>
    <row r="25" spans="1:13" x14ac:dyDescent="0.35">
      <c r="A25" s="163" t="s">
        <v>341</v>
      </c>
      <c r="B25" s="218">
        <v>17184.060000000001</v>
      </c>
      <c r="C25" s="219">
        <f t="shared" si="0"/>
        <v>1432.01</v>
      </c>
      <c r="D25" s="219">
        <f t="shared" si="0"/>
        <v>119.33</v>
      </c>
      <c r="E25" s="219">
        <f t="shared" si="1"/>
        <v>119.33</v>
      </c>
      <c r="F25" s="220">
        <f t="shared" si="2"/>
        <v>1670.67</v>
      </c>
      <c r="G25" s="220">
        <f t="shared" si="3"/>
        <v>589.75</v>
      </c>
      <c r="H25" s="221">
        <f t="shared" si="4"/>
        <v>0</v>
      </c>
      <c r="I25" s="222">
        <f t="shared" si="5"/>
        <v>2260.42</v>
      </c>
      <c r="J25" s="189">
        <f t="shared" si="6"/>
        <v>14.49</v>
      </c>
      <c r="K25" s="191">
        <f t="shared" si="7"/>
        <v>14.28</v>
      </c>
      <c r="L25" s="220">
        <f t="shared" si="8"/>
        <v>16.149999999999999</v>
      </c>
      <c r="M25" s="222">
        <f t="shared" si="9"/>
        <v>18.63</v>
      </c>
    </row>
    <row r="26" spans="1:13" x14ac:dyDescent="0.35">
      <c r="A26" s="163" t="s">
        <v>342</v>
      </c>
      <c r="B26" s="218">
        <v>16884.36</v>
      </c>
      <c r="C26" s="219">
        <f t="shared" si="0"/>
        <v>1407.03</v>
      </c>
      <c r="D26" s="219">
        <f t="shared" si="0"/>
        <v>117.25</v>
      </c>
      <c r="E26" s="219">
        <f t="shared" si="1"/>
        <v>117.25</v>
      </c>
      <c r="F26" s="220">
        <f t="shared" si="2"/>
        <v>1641.53</v>
      </c>
      <c r="G26" s="220">
        <f t="shared" si="3"/>
        <v>579.46</v>
      </c>
      <c r="H26" s="221">
        <f t="shared" si="4"/>
        <v>0</v>
      </c>
      <c r="I26" s="222">
        <f t="shared" si="5"/>
        <v>2220.9899999999998</v>
      </c>
      <c r="J26" s="189">
        <f t="shared" si="6"/>
        <v>14.24</v>
      </c>
      <c r="K26" s="191">
        <f t="shared" si="7"/>
        <v>14.03</v>
      </c>
      <c r="L26" s="220">
        <f t="shared" si="8"/>
        <v>15.86</v>
      </c>
      <c r="M26" s="222">
        <f t="shared" si="9"/>
        <v>18.3</v>
      </c>
    </row>
    <row r="27" spans="1:13" x14ac:dyDescent="0.35">
      <c r="A27" s="223" t="s">
        <v>343</v>
      </c>
      <c r="B27" s="224">
        <v>16533.95</v>
      </c>
      <c r="C27" s="225">
        <f t="shared" si="0"/>
        <v>1377.83</v>
      </c>
      <c r="D27" s="225">
        <f t="shared" si="0"/>
        <v>114.82</v>
      </c>
      <c r="E27" s="225">
        <f t="shared" si="1"/>
        <v>114.82</v>
      </c>
      <c r="F27" s="226">
        <f t="shared" si="2"/>
        <v>1607.4699999999998</v>
      </c>
      <c r="G27" s="226">
        <f t="shared" si="3"/>
        <v>567.44000000000005</v>
      </c>
      <c r="H27" s="227">
        <f t="shared" si="4"/>
        <v>0</v>
      </c>
      <c r="I27" s="228">
        <f t="shared" si="5"/>
        <v>2174.91</v>
      </c>
      <c r="J27" s="229">
        <f t="shared" si="6"/>
        <v>13.94</v>
      </c>
      <c r="K27" s="230">
        <f t="shared" si="7"/>
        <v>13.74</v>
      </c>
      <c r="L27" s="226">
        <f t="shared" si="8"/>
        <v>15.54</v>
      </c>
      <c r="M27" s="228">
        <f t="shared" si="9"/>
        <v>17.93</v>
      </c>
    </row>
    <row r="28" spans="1:13" x14ac:dyDescent="0.35">
      <c r="A28" s="231" t="s">
        <v>344</v>
      </c>
      <c r="B28" s="232">
        <v>16314.57</v>
      </c>
      <c r="C28" s="233">
        <f t="shared" si="0"/>
        <v>1359.55</v>
      </c>
      <c r="D28" s="233">
        <f t="shared" si="0"/>
        <v>113.3</v>
      </c>
      <c r="E28" s="233">
        <f t="shared" si="1"/>
        <v>113.3</v>
      </c>
      <c r="F28" s="234">
        <f t="shared" si="2"/>
        <v>1586.1499999999999</v>
      </c>
      <c r="G28" s="234">
        <f t="shared" si="3"/>
        <v>559.91</v>
      </c>
      <c r="H28" s="235">
        <f t="shared" si="4"/>
        <v>0</v>
      </c>
      <c r="I28" s="236">
        <f t="shared" si="5"/>
        <v>2146.06</v>
      </c>
      <c r="J28" s="237">
        <f t="shared" si="6"/>
        <v>13.76</v>
      </c>
      <c r="K28" s="238">
        <f t="shared" si="7"/>
        <v>13.56</v>
      </c>
      <c r="L28" s="234">
        <f t="shared" si="8"/>
        <v>15.33</v>
      </c>
      <c r="M28" s="236">
        <f t="shared" si="9"/>
        <v>17.690000000000001</v>
      </c>
    </row>
    <row r="29" spans="1:13" x14ac:dyDescent="0.35">
      <c r="A29" s="253"/>
    </row>
  </sheetData>
  <mergeCells count="3">
    <mergeCell ref="E1:G1"/>
    <mergeCell ref="E2:G2"/>
    <mergeCell ref="J4:M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40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16.1796875" customWidth="1"/>
    <col min="4" max="4" width="9.54296875" customWidth="1"/>
    <col min="5" max="5" width="11.1796875" customWidth="1"/>
    <col min="8" max="8" width="11.453125" customWidth="1"/>
    <col min="11" max="11" width="10.1796875" customWidth="1"/>
  </cols>
  <sheetData>
    <row r="1" spans="1:22" x14ac:dyDescent="0.35">
      <c r="E1" s="348" t="s">
        <v>307</v>
      </c>
      <c r="F1" s="348"/>
      <c r="G1" s="348"/>
      <c r="H1" s="206">
        <v>0</v>
      </c>
    </row>
    <row r="2" spans="1:22" x14ac:dyDescent="0.35">
      <c r="E2" s="348" t="s">
        <v>308</v>
      </c>
      <c r="F2" s="348"/>
      <c r="G2" s="348"/>
      <c r="H2" s="207">
        <v>26</v>
      </c>
    </row>
    <row r="4" spans="1:22" x14ac:dyDescent="0.35">
      <c r="A4" s="144" t="s">
        <v>309</v>
      </c>
      <c r="J4" s="349" t="s">
        <v>345</v>
      </c>
      <c r="K4" s="349"/>
      <c r="L4" s="349"/>
      <c r="M4" s="349"/>
    </row>
    <row r="5" spans="1:22" ht="58" x14ac:dyDescent="0.35">
      <c r="A5" s="208"/>
      <c r="B5" s="209" t="s">
        <v>311</v>
      </c>
      <c r="C5" s="210" t="s">
        <v>312</v>
      </c>
      <c r="D5" s="211" t="s">
        <v>313</v>
      </c>
      <c r="E5" s="211" t="s">
        <v>314</v>
      </c>
      <c r="F5" s="211" t="s">
        <v>315</v>
      </c>
      <c r="G5" s="211" t="s">
        <v>292</v>
      </c>
      <c r="H5" s="212" t="s">
        <v>316</v>
      </c>
      <c r="I5" s="213" t="s">
        <v>317</v>
      </c>
      <c r="J5" s="214" t="s">
        <v>346</v>
      </c>
      <c r="K5" s="215" t="s">
        <v>319</v>
      </c>
      <c r="L5" s="216" t="s">
        <v>320</v>
      </c>
      <c r="M5" s="217" t="s">
        <v>321</v>
      </c>
      <c r="O5" s="254" t="s">
        <v>347</v>
      </c>
    </row>
    <row r="6" spans="1:22" x14ac:dyDescent="0.35">
      <c r="A6" s="163" t="s">
        <v>322</v>
      </c>
      <c r="B6" s="218">
        <f t="shared" ref="B6:B28" si="0">+P6</f>
        <v>29638.84</v>
      </c>
      <c r="C6" s="219">
        <f t="shared" ref="C6:D28" si="1">+ROUND(B6/12,2)</f>
        <v>2469.9</v>
      </c>
      <c r="D6" s="219">
        <f t="shared" si="1"/>
        <v>205.83</v>
      </c>
      <c r="E6" s="219">
        <f t="shared" ref="E6:E28" si="2">+D6</f>
        <v>205.83</v>
      </c>
      <c r="F6" s="220">
        <f t="shared" ref="F6:F28" si="3">+E6+D6+C6</f>
        <v>2881.56</v>
      </c>
      <c r="G6" s="220">
        <f t="shared" ref="G6:G28" si="4">+ROUND(F6*$B$38,2)</f>
        <v>1028.1400000000001</v>
      </c>
      <c r="H6" s="221">
        <f t="shared" ref="H6:H28" si="5">+$H$2*$H$1</f>
        <v>0</v>
      </c>
      <c r="I6" s="222">
        <f t="shared" ref="I6:I28" si="6">+G6+F6+H6</f>
        <v>3909.7</v>
      </c>
      <c r="J6" s="189">
        <f t="shared" ref="J6:J28" si="7">+ROUND(I6/156,2)</f>
        <v>25.06</v>
      </c>
      <c r="K6" s="191">
        <f t="shared" ref="K6:K28" si="8">ROUND(((C6+D6)*$C$38)/156*1.15,2)</f>
        <v>26.76</v>
      </c>
      <c r="L6" s="220">
        <f t="shared" ref="L6:L28" si="9">ROUND(((C6+D6)*$C$38)/156*1.3,2)</f>
        <v>30.25</v>
      </c>
      <c r="M6" s="222">
        <f t="shared" ref="M6:M28" si="10">ROUND(((C6+D6)*$C$38)/156*1.5,2)</f>
        <v>34.909999999999997</v>
      </c>
      <c r="O6" s="255" t="s">
        <v>241</v>
      </c>
      <c r="P6" s="256">
        <v>29638.84</v>
      </c>
      <c r="Q6" s="257"/>
      <c r="R6" s="255" t="s">
        <v>348</v>
      </c>
      <c r="S6" s="256">
        <v>31138.84</v>
      </c>
      <c r="V6" s="183"/>
    </row>
    <row r="7" spans="1:22" x14ac:dyDescent="0.35">
      <c r="A7" s="163" t="s">
        <v>323</v>
      </c>
      <c r="B7" s="218">
        <f t="shared" si="0"/>
        <v>27723.7</v>
      </c>
      <c r="C7" s="219">
        <f t="shared" si="1"/>
        <v>2310.31</v>
      </c>
      <c r="D7" s="219">
        <f t="shared" si="1"/>
        <v>192.53</v>
      </c>
      <c r="E7" s="219">
        <f t="shared" si="2"/>
        <v>192.53</v>
      </c>
      <c r="F7" s="220">
        <f t="shared" si="3"/>
        <v>2695.37</v>
      </c>
      <c r="G7" s="220">
        <f t="shared" si="4"/>
        <v>961.71</v>
      </c>
      <c r="H7" s="221">
        <f t="shared" si="5"/>
        <v>0</v>
      </c>
      <c r="I7" s="222">
        <f t="shared" si="6"/>
        <v>3657.08</v>
      </c>
      <c r="J7" s="189">
        <f t="shared" si="7"/>
        <v>23.44</v>
      </c>
      <c r="K7" s="191">
        <f t="shared" si="8"/>
        <v>25.03</v>
      </c>
      <c r="L7" s="220">
        <f t="shared" si="9"/>
        <v>28.3</v>
      </c>
      <c r="M7" s="222">
        <f t="shared" si="10"/>
        <v>32.65</v>
      </c>
      <c r="O7" s="255" t="s">
        <v>246</v>
      </c>
      <c r="P7" s="256">
        <v>27723.7</v>
      </c>
      <c r="Q7" s="257"/>
      <c r="R7" s="255" t="s">
        <v>349</v>
      </c>
      <c r="S7" s="256">
        <v>23543.200000000001</v>
      </c>
    </row>
    <row r="8" spans="1:22" x14ac:dyDescent="0.35">
      <c r="A8" s="223" t="s">
        <v>324</v>
      </c>
      <c r="B8" s="224">
        <f t="shared" si="0"/>
        <v>26538.880000000001</v>
      </c>
      <c r="C8" s="225">
        <f t="shared" si="1"/>
        <v>2211.5700000000002</v>
      </c>
      <c r="D8" s="225">
        <f t="shared" si="1"/>
        <v>184.3</v>
      </c>
      <c r="E8" s="225">
        <f t="shared" si="2"/>
        <v>184.3</v>
      </c>
      <c r="F8" s="226">
        <f t="shared" si="3"/>
        <v>2580.17</v>
      </c>
      <c r="G8" s="226">
        <f t="shared" si="4"/>
        <v>920.6</v>
      </c>
      <c r="H8" s="227">
        <f t="shared" si="5"/>
        <v>0</v>
      </c>
      <c r="I8" s="228">
        <f t="shared" si="6"/>
        <v>3500.77</v>
      </c>
      <c r="J8" s="229">
        <f t="shared" si="7"/>
        <v>22.44</v>
      </c>
      <c r="K8" s="230">
        <f t="shared" si="8"/>
        <v>23.96</v>
      </c>
      <c r="L8" s="226">
        <f t="shared" si="9"/>
        <v>27.09</v>
      </c>
      <c r="M8" s="228">
        <f t="shared" si="10"/>
        <v>31.26</v>
      </c>
      <c r="O8" s="255" t="s">
        <v>248</v>
      </c>
      <c r="P8" s="256">
        <v>26538.880000000001</v>
      </c>
      <c r="Q8" s="257"/>
      <c r="R8" s="255" t="s">
        <v>350</v>
      </c>
      <c r="S8" s="256">
        <v>21248.240000000002</v>
      </c>
    </row>
    <row r="9" spans="1:22" x14ac:dyDescent="0.35">
      <c r="A9" s="231" t="s">
        <v>325</v>
      </c>
      <c r="B9" s="232">
        <f t="shared" si="0"/>
        <v>25451.86</v>
      </c>
      <c r="C9" s="233">
        <f t="shared" si="1"/>
        <v>2120.9899999999998</v>
      </c>
      <c r="D9" s="233">
        <f t="shared" si="1"/>
        <v>176.75</v>
      </c>
      <c r="E9" s="233">
        <f t="shared" si="2"/>
        <v>176.75</v>
      </c>
      <c r="F9" s="234">
        <f t="shared" si="3"/>
        <v>2474.4899999999998</v>
      </c>
      <c r="G9" s="234">
        <f t="shared" si="4"/>
        <v>882.9</v>
      </c>
      <c r="H9" s="235">
        <f t="shared" si="5"/>
        <v>0</v>
      </c>
      <c r="I9" s="236">
        <f t="shared" si="6"/>
        <v>3357.39</v>
      </c>
      <c r="J9" s="237">
        <f t="shared" si="7"/>
        <v>21.52</v>
      </c>
      <c r="K9" s="238">
        <f t="shared" si="8"/>
        <v>22.98</v>
      </c>
      <c r="L9" s="234">
        <f t="shared" si="9"/>
        <v>25.98</v>
      </c>
      <c r="M9" s="236">
        <f t="shared" si="10"/>
        <v>29.98</v>
      </c>
      <c r="O9" s="255" t="s">
        <v>251</v>
      </c>
      <c r="P9" s="256">
        <v>25451.86</v>
      </c>
      <c r="Q9" s="257"/>
      <c r="R9" s="255" t="s">
        <v>351</v>
      </c>
      <c r="S9" s="256">
        <v>18661.97</v>
      </c>
    </row>
    <row r="10" spans="1:22" x14ac:dyDescent="0.35">
      <c r="A10" s="195" t="s">
        <v>326</v>
      </c>
      <c r="B10" s="239">
        <f t="shared" si="0"/>
        <v>23220.05</v>
      </c>
      <c r="C10" s="240">
        <f t="shared" si="1"/>
        <v>1935</v>
      </c>
      <c r="D10" s="240">
        <f t="shared" si="1"/>
        <v>161.25</v>
      </c>
      <c r="E10" s="240">
        <f t="shared" si="2"/>
        <v>161.25</v>
      </c>
      <c r="F10" s="241">
        <f t="shared" si="3"/>
        <v>2257.5</v>
      </c>
      <c r="G10" s="241">
        <f t="shared" si="4"/>
        <v>805.48</v>
      </c>
      <c r="H10" s="242">
        <f t="shared" si="5"/>
        <v>0</v>
      </c>
      <c r="I10" s="243">
        <f t="shared" si="6"/>
        <v>3062.98</v>
      </c>
      <c r="J10" s="194">
        <f t="shared" si="7"/>
        <v>19.63</v>
      </c>
      <c r="K10" s="244">
        <f t="shared" si="8"/>
        <v>20.97</v>
      </c>
      <c r="L10" s="241">
        <f t="shared" si="9"/>
        <v>23.7</v>
      </c>
      <c r="M10" s="243">
        <f t="shared" si="10"/>
        <v>27.35</v>
      </c>
      <c r="O10" s="255" t="s">
        <v>255</v>
      </c>
      <c r="P10" s="256">
        <v>23220.05</v>
      </c>
      <c r="Q10" s="257"/>
      <c r="R10" s="257"/>
      <c r="S10" s="257"/>
    </row>
    <row r="11" spans="1:22" x14ac:dyDescent="0.35">
      <c r="A11" s="231" t="s">
        <v>327</v>
      </c>
      <c r="B11" s="232">
        <f t="shared" si="0"/>
        <v>22135.47</v>
      </c>
      <c r="C11" s="233">
        <f t="shared" si="1"/>
        <v>1844.62</v>
      </c>
      <c r="D11" s="233">
        <f t="shared" si="1"/>
        <v>153.72</v>
      </c>
      <c r="E11" s="233">
        <f t="shared" si="2"/>
        <v>153.72</v>
      </c>
      <c r="F11" s="234">
        <f t="shared" si="3"/>
        <v>2152.06</v>
      </c>
      <c r="G11" s="234">
        <f t="shared" si="4"/>
        <v>767.86</v>
      </c>
      <c r="H11" s="235">
        <f t="shared" si="5"/>
        <v>0</v>
      </c>
      <c r="I11" s="236">
        <f t="shared" si="6"/>
        <v>2919.92</v>
      </c>
      <c r="J11" s="237">
        <f t="shared" si="7"/>
        <v>18.72</v>
      </c>
      <c r="K11" s="238">
        <f t="shared" si="8"/>
        <v>19.989999999999998</v>
      </c>
      <c r="L11" s="234">
        <f t="shared" si="9"/>
        <v>22.59</v>
      </c>
      <c r="M11" s="236">
        <f t="shared" si="10"/>
        <v>26.07</v>
      </c>
      <c r="O11" s="255" t="s">
        <v>257</v>
      </c>
      <c r="P11" s="256">
        <v>22135.47</v>
      </c>
      <c r="Q11" s="257"/>
      <c r="R11" s="257"/>
      <c r="S11" s="257"/>
    </row>
    <row r="12" spans="1:22" x14ac:dyDescent="0.35">
      <c r="A12" s="245" t="s">
        <v>328</v>
      </c>
      <c r="B12" s="246">
        <f t="shared" si="0"/>
        <v>22903.200000000001</v>
      </c>
      <c r="C12" s="247">
        <f t="shared" si="1"/>
        <v>1908.6</v>
      </c>
      <c r="D12" s="247">
        <f t="shared" si="1"/>
        <v>159.05000000000001</v>
      </c>
      <c r="E12" s="247">
        <f t="shared" si="2"/>
        <v>159.05000000000001</v>
      </c>
      <c r="F12" s="248">
        <f t="shared" si="3"/>
        <v>2226.6999999999998</v>
      </c>
      <c r="G12" s="248">
        <f t="shared" si="4"/>
        <v>794.49</v>
      </c>
      <c r="H12" s="249">
        <f t="shared" si="5"/>
        <v>0</v>
      </c>
      <c r="I12" s="250">
        <f t="shared" si="6"/>
        <v>3021.1899999999996</v>
      </c>
      <c r="J12" s="251">
        <f t="shared" si="7"/>
        <v>19.37</v>
      </c>
      <c r="K12" s="252">
        <f t="shared" si="8"/>
        <v>20.68</v>
      </c>
      <c r="L12" s="248">
        <f t="shared" si="9"/>
        <v>23.38</v>
      </c>
      <c r="M12" s="250">
        <f t="shared" si="10"/>
        <v>26.97</v>
      </c>
      <c r="O12" s="255" t="s">
        <v>258</v>
      </c>
      <c r="P12" s="256">
        <v>22903.200000000001</v>
      </c>
      <c r="Q12" s="257"/>
      <c r="R12" s="257"/>
      <c r="S12" s="257"/>
    </row>
    <row r="13" spans="1:22" x14ac:dyDescent="0.35">
      <c r="A13" s="258" t="s">
        <v>329</v>
      </c>
      <c r="B13" s="259">
        <f t="shared" si="0"/>
        <v>22086.11</v>
      </c>
      <c r="C13" s="260">
        <f t="shared" si="1"/>
        <v>1840.51</v>
      </c>
      <c r="D13" s="260">
        <f t="shared" si="1"/>
        <v>153.38</v>
      </c>
      <c r="E13" s="260">
        <f t="shared" si="2"/>
        <v>153.38</v>
      </c>
      <c r="F13" s="261">
        <f t="shared" si="3"/>
        <v>2147.27</v>
      </c>
      <c r="G13" s="261">
        <f t="shared" si="4"/>
        <v>766.15</v>
      </c>
      <c r="H13" s="262">
        <f t="shared" si="5"/>
        <v>0</v>
      </c>
      <c r="I13" s="263">
        <f t="shared" si="6"/>
        <v>2913.42</v>
      </c>
      <c r="J13" s="264">
        <f t="shared" si="7"/>
        <v>18.68</v>
      </c>
      <c r="K13" s="265">
        <f t="shared" si="8"/>
        <v>19.940000000000001</v>
      </c>
      <c r="L13" s="261">
        <f t="shared" si="9"/>
        <v>22.54</v>
      </c>
      <c r="M13" s="263">
        <f t="shared" si="10"/>
        <v>26.01</v>
      </c>
      <c r="O13" s="255" t="s">
        <v>261</v>
      </c>
      <c r="P13" s="256">
        <v>22086.11</v>
      </c>
      <c r="Q13" s="257"/>
      <c r="R13" s="257"/>
      <c r="S13" s="257"/>
    </row>
    <row r="14" spans="1:22" x14ac:dyDescent="0.35">
      <c r="A14" s="258" t="s">
        <v>330</v>
      </c>
      <c r="B14" s="259">
        <f t="shared" si="0"/>
        <v>21409.82</v>
      </c>
      <c r="C14" s="260">
        <f t="shared" si="1"/>
        <v>1784.15</v>
      </c>
      <c r="D14" s="260">
        <f t="shared" si="1"/>
        <v>148.68</v>
      </c>
      <c r="E14" s="260">
        <f t="shared" si="2"/>
        <v>148.68</v>
      </c>
      <c r="F14" s="261">
        <f t="shared" si="3"/>
        <v>2081.5100000000002</v>
      </c>
      <c r="G14" s="261">
        <f t="shared" si="4"/>
        <v>742.68</v>
      </c>
      <c r="H14" s="262">
        <f t="shared" si="5"/>
        <v>0</v>
      </c>
      <c r="I14" s="263">
        <f t="shared" si="6"/>
        <v>2824.19</v>
      </c>
      <c r="J14" s="264">
        <f t="shared" si="7"/>
        <v>18.100000000000001</v>
      </c>
      <c r="K14" s="265">
        <f t="shared" si="8"/>
        <v>19.329999999999998</v>
      </c>
      <c r="L14" s="261">
        <f t="shared" si="9"/>
        <v>21.85</v>
      </c>
      <c r="M14" s="263">
        <f t="shared" si="10"/>
        <v>25.22</v>
      </c>
      <c r="O14" s="255" t="s">
        <v>263</v>
      </c>
      <c r="P14" s="256">
        <v>21409.82</v>
      </c>
      <c r="Q14" s="257"/>
      <c r="R14" s="257"/>
      <c r="S14" s="257"/>
    </row>
    <row r="15" spans="1:22" x14ac:dyDescent="0.35">
      <c r="A15" s="266" t="s">
        <v>331</v>
      </c>
      <c r="B15" s="267">
        <f t="shared" si="0"/>
        <v>20829.259999999998</v>
      </c>
      <c r="C15" s="268">
        <f t="shared" si="1"/>
        <v>1735.77</v>
      </c>
      <c r="D15" s="268">
        <f t="shared" si="1"/>
        <v>144.65</v>
      </c>
      <c r="E15" s="268">
        <f t="shared" si="2"/>
        <v>144.65</v>
      </c>
      <c r="F15" s="269">
        <f t="shared" si="3"/>
        <v>2025.07</v>
      </c>
      <c r="G15" s="269">
        <f t="shared" si="4"/>
        <v>722.54</v>
      </c>
      <c r="H15" s="270">
        <f t="shared" si="5"/>
        <v>0</v>
      </c>
      <c r="I15" s="271">
        <f t="shared" si="6"/>
        <v>2747.6099999999997</v>
      </c>
      <c r="J15" s="272">
        <f t="shared" si="7"/>
        <v>17.61</v>
      </c>
      <c r="K15" s="273">
        <f t="shared" si="8"/>
        <v>18.809999999999999</v>
      </c>
      <c r="L15" s="269">
        <f t="shared" si="9"/>
        <v>21.26</v>
      </c>
      <c r="M15" s="271">
        <f t="shared" si="10"/>
        <v>24.53</v>
      </c>
      <c r="O15" s="255" t="s">
        <v>254</v>
      </c>
      <c r="P15" s="256">
        <v>20829.259999999998</v>
      </c>
      <c r="Q15" s="257"/>
      <c r="R15" s="257"/>
      <c r="S15" s="257"/>
    </row>
    <row r="16" spans="1:22" x14ac:dyDescent="0.35">
      <c r="A16" s="274" t="s">
        <v>332</v>
      </c>
      <c r="B16" s="275">
        <f t="shared" si="0"/>
        <v>20344.07</v>
      </c>
      <c r="C16" s="276">
        <f t="shared" si="1"/>
        <v>1695.34</v>
      </c>
      <c r="D16" s="276">
        <f t="shared" si="1"/>
        <v>141.28</v>
      </c>
      <c r="E16" s="276">
        <f t="shared" si="2"/>
        <v>141.28</v>
      </c>
      <c r="F16" s="277">
        <f t="shared" si="3"/>
        <v>1977.8999999999999</v>
      </c>
      <c r="G16" s="277">
        <f t="shared" si="4"/>
        <v>705.71</v>
      </c>
      <c r="H16" s="278">
        <f t="shared" si="5"/>
        <v>0</v>
      </c>
      <c r="I16" s="279">
        <f t="shared" si="6"/>
        <v>2683.6099999999997</v>
      </c>
      <c r="J16" s="280">
        <f t="shared" si="7"/>
        <v>17.2</v>
      </c>
      <c r="K16" s="281">
        <f t="shared" si="8"/>
        <v>18.37</v>
      </c>
      <c r="L16" s="277">
        <f t="shared" si="9"/>
        <v>20.77</v>
      </c>
      <c r="M16" s="279">
        <f t="shared" si="10"/>
        <v>23.96</v>
      </c>
      <c r="O16" s="255" t="s">
        <v>250</v>
      </c>
      <c r="P16" s="256">
        <v>20344.07</v>
      </c>
      <c r="Q16" s="257"/>
      <c r="R16" s="257"/>
      <c r="S16" s="257"/>
    </row>
    <row r="17" spans="1:20" x14ac:dyDescent="0.35">
      <c r="A17" s="282" t="s">
        <v>333</v>
      </c>
      <c r="B17" s="283">
        <f t="shared" si="0"/>
        <v>20788.240000000002</v>
      </c>
      <c r="C17" s="284">
        <f t="shared" si="1"/>
        <v>1732.35</v>
      </c>
      <c r="D17" s="284">
        <f t="shared" si="1"/>
        <v>144.36000000000001</v>
      </c>
      <c r="E17" s="284">
        <f t="shared" si="2"/>
        <v>144.36000000000001</v>
      </c>
      <c r="F17" s="285">
        <f t="shared" si="3"/>
        <v>2021.07</v>
      </c>
      <c r="G17" s="285">
        <f t="shared" si="4"/>
        <v>721.12</v>
      </c>
      <c r="H17" s="286">
        <f t="shared" si="5"/>
        <v>0</v>
      </c>
      <c r="I17" s="287">
        <f t="shared" si="6"/>
        <v>2742.19</v>
      </c>
      <c r="J17" s="288">
        <f t="shared" si="7"/>
        <v>17.579999999999998</v>
      </c>
      <c r="K17" s="289">
        <f t="shared" si="8"/>
        <v>18.77</v>
      </c>
      <c r="L17" s="285">
        <f t="shared" si="9"/>
        <v>21.22</v>
      </c>
      <c r="M17" s="287">
        <f t="shared" si="10"/>
        <v>24.48</v>
      </c>
      <c r="O17" s="255" t="s">
        <v>267</v>
      </c>
      <c r="P17" s="256">
        <v>20788.240000000002</v>
      </c>
      <c r="Q17" s="257"/>
      <c r="R17" s="257"/>
      <c r="S17" s="257"/>
    </row>
    <row r="18" spans="1:20" x14ac:dyDescent="0.35">
      <c r="A18" s="258" t="s">
        <v>334</v>
      </c>
      <c r="B18" s="259">
        <f t="shared" si="0"/>
        <v>20019.099999999999</v>
      </c>
      <c r="C18" s="260">
        <f t="shared" si="1"/>
        <v>1668.26</v>
      </c>
      <c r="D18" s="260">
        <f t="shared" si="1"/>
        <v>139.02000000000001</v>
      </c>
      <c r="E18" s="260">
        <f t="shared" si="2"/>
        <v>139.02000000000001</v>
      </c>
      <c r="F18" s="261">
        <f t="shared" si="3"/>
        <v>1946.3</v>
      </c>
      <c r="G18" s="261">
        <f t="shared" si="4"/>
        <v>694.44</v>
      </c>
      <c r="H18" s="262">
        <f t="shared" si="5"/>
        <v>0</v>
      </c>
      <c r="I18" s="263">
        <f t="shared" si="6"/>
        <v>2640.74</v>
      </c>
      <c r="J18" s="264">
        <f t="shared" si="7"/>
        <v>16.93</v>
      </c>
      <c r="K18" s="265">
        <f t="shared" si="8"/>
        <v>18.079999999999998</v>
      </c>
      <c r="L18" s="261">
        <f t="shared" si="9"/>
        <v>20.43</v>
      </c>
      <c r="M18" s="263">
        <f t="shared" si="10"/>
        <v>23.58</v>
      </c>
      <c r="O18" s="255" t="s">
        <v>269</v>
      </c>
      <c r="P18" s="256">
        <v>20019.099999999999</v>
      </c>
      <c r="Q18" s="257"/>
      <c r="R18" s="257"/>
      <c r="S18" s="257"/>
    </row>
    <row r="19" spans="1:20" x14ac:dyDescent="0.35">
      <c r="A19" s="258" t="s">
        <v>335</v>
      </c>
      <c r="B19" s="259">
        <f t="shared" si="0"/>
        <v>19669.91</v>
      </c>
      <c r="C19" s="260">
        <f t="shared" si="1"/>
        <v>1639.16</v>
      </c>
      <c r="D19" s="260">
        <f t="shared" si="1"/>
        <v>136.6</v>
      </c>
      <c r="E19" s="260">
        <f t="shared" si="2"/>
        <v>136.6</v>
      </c>
      <c r="F19" s="261">
        <f t="shared" si="3"/>
        <v>1912.3600000000001</v>
      </c>
      <c r="G19" s="261">
        <f t="shared" si="4"/>
        <v>682.33</v>
      </c>
      <c r="H19" s="262">
        <f t="shared" si="5"/>
        <v>0</v>
      </c>
      <c r="I19" s="263">
        <f t="shared" si="6"/>
        <v>2594.69</v>
      </c>
      <c r="J19" s="264">
        <f t="shared" si="7"/>
        <v>16.63</v>
      </c>
      <c r="K19" s="265">
        <f t="shared" si="8"/>
        <v>17.760000000000002</v>
      </c>
      <c r="L19" s="261">
        <f t="shared" si="9"/>
        <v>20.079999999999998</v>
      </c>
      <c r="M19" s="263">
        <f t="shared" si="10"/>
        <v>23.17</v>
      </c>
      <c r="O19" s="255" t="s">
        <v>270</v>
      </c>
      <c r="P19" s="256">
        <v>19669.91</v>
      </c>
      <c r="Q19" s="257"/>
      <c r="R19" s="257"/>
      <c r="S19" s="257"/>
    </row>
    <row r="20" spans="1:20" x14ac:dyDescent="0.35">
      <c r="A20" s="258" t="s">
        <v>336</v>
      </c>
      <c r="B20" s="259">
        <f t="shared" si="0"/>
        <v>19343.330000000002</v>
      </c>
      <c r="C20" s="260">
        <f t="shared" si="1"/>
        <v>1611.94</v>
      </c>
      <c r="D20" s="260">
        <f t="shared" si="1"/>
        <v>134.33000000000001</v>
      </c>
      <c r="E20" s="260">
        <f t="shared" si="2"/>
        <v>134.33000000000001</v>
      </c>
      <c r="F20" s="261">
        <f t="shared" si="3"/>
        <v>1880.6000000000001</v>
      </c>
      <c r="G20" s="261">
        <f t="shared" si="4"/>
        <v>671</v>
      </c>
      <c r="H20" s="262">
        <f t="shared" si="5"/>
        <v>0</v>
      </c>
      <c r="I20" s="263">
        <f t="shared" si="6"/>
        <v>2551.6000000000004</v>
      </c>
      <c r="J20" s="264">
        <f t="shared" si="7"/>
        <v>16.36</v>
      </c>
      <c r="K20" s="265">
        <f t="shared" si="8"/>
        <v>17.47</v>
      </c>
      <c r="L20" s="261">
        <f t="shared" si="9"/>
        <v>19.739999999999998</v>
      </c>
      <c r="M20" s="263">
        <f t="shared" si="10"/>
        <v>22.78</v>
      </c>
      <c r="O20" s="255" t="s">
        <v>272</v>
      </c>
      <c r="P20" s="256">
        <v>19343.330000000002</v>
      </c>
      <c r="Q20" s="257"/>
      <c r="R20" s="257"/>
      <c r="S20" s="257"/>
    </row>
    <row r="21" spans="1:20" s="144" customFormat="1" x14ac:dyDescent="0.35">
      <c r="A21" s="274" t="s">
        <v>337</v>
      </c>
      <c r="B21" s="275">
        <f t="shared" si="0"/>
        <v>19063.8</v>
      </c>
      <c r="C21" s="276">
        <f t="shared" si="1"/>
        <v>1588.65</v>
      </c>
      <c r="D21" s="276">
        <f t="shared" si="1"/>
        <v>132.38999999999999</v>
      </c>
      <c r="E21" s="276">
        <f t="shared" si="2"/>
        <v>132.38999999999999</v>
      </c>
      <c r="F21" s="277">
        <f t="shared" si="3"/>
        <v>1853.43</v>
      </c>
      <c r="G21" s="277">
        <f t="shared" si="4"/>
        <v>661.3</v>
      </c>
      <c r="H21" s="278">
        <f t="shared" si="5"/>
        <v>0</v>
      </c>
      <c r="I21" s="279">
        <f t="shared" si="6"/>
        <v>2514.73</v>
      </c>
      <c r="J21" s="280">
        <f t="shared" si="7"/>
        <v>16.12</v>
      </c>
      <c r="K21" s="281">
        <f t="shared" si="8"/>
        <v>17.21</v>
      </c>
      <c r="L21" s="277">
        <f t="shared" si="9"/>
        <v>19.46</v>
      </c>
      <c r="M21" s="279">
        <f t="shared" si="10"/>
        <v>22.45</v>
      </c>
      <c r="O21" s="255" t="s">
        <v>273</v>
      </c>
      <c r="P21" s="256">
        <v>19063.8</v>
      </c>
      <c r="Q21" s="290"/>
      <c r="R21" s="290"/>
      <c r="S21" s="290"/>
    </row>
    <row r="22" spans="1:20" x14ac:dyDescent="0.35">
      <c r="A22" s="266" t="s">
        <v>338</v>
      </c>
      <c r="B22" s="267">
        <f t="shared" si="0"/>
        <v>18333.93</v>
      </c>
      <c r="C22" s="268">
        <f t="shared" si="1"/>
        <v>1527.83</v>
      </c>
      <c r="D22" s="268">
        <f t="shared" si="1"/>
        <v>127.32</v>
      </c>
      <c r="E22" s="268">
        <f t="shared" si="2"/>
        <v>127.32</v>
      </c>
      <c r="F22" s="269">
        <f t="shared" si="3"/>
        <v>1782.4699999999998</v>
      </c>
      <c r="G22" s="269">
        <f t="shared" si="4"/>
        <v>635.99</v>
      </c>
      <c r="H22" s="270">
        <f t="shared" si="5"/>
        <v>0</v>
      </c>
      <c r="I22" s="271">
        <f t="shared" si="6"/>
        <v>2418.46</v>
      </c>
      <c r="J22" s="272">
        <f t="shared" si="7"/>
        <v>15.5</v>
      </c>
      <c r="K22" s="273">
        <f t="shared" si="8"/>
        <v>16.55</v>
      </c>
      <c r="L22" s="269">
        <f t="shared" si="9"/>
        <v>18.71</v>
      </c>
      <c r="M22" s="271">
        <f t="shared" si="10"/>
        <v>21.59</v>
      </c>
      <c r="O22" s="255" t="s">
        <v>275</v>
      </c>
      <c r="P22" s="256">
        <v>18333.93</v>
      </c>
      <c r="Q22" s="257"/>
      <c r="R22" s="290"/>
      <c r="S22" s="290"/>
      <c r="T22" s="185"/>
    </row>
    <row r="23" spans="1:20" x14ac:dyDescent="0.35">
      <c r="A23" s="274" t="s">
        <v>339</v>
      </c>
      <c r="B23" s="275">
        <f t="shared" si="0"/>
        <v>18034.07</v>
      </c>
      <c r="C23" s="276">
        <f t="shared" si="1"/>
        <v>1502.84</v>
      </c>
      <c r="D23" s="276">
        <f t="shared" si="1"/>
        <v>125.24</v>
      </c>
      <c r="E23" s="276">
        <f t="shared" si="2"/>
        <v>125.24</v>
      </c>
      <c r="F23" s="277">
        <f t="shared" si="3"/>
        <v>1753.32</v>
      </c>
      <c r="G23" s="277">
        <f t="shared" si="4"/>
        <v>625.58000000000004</v>
      </c>
      <c r="H23" s="278">
        <f t="shared" si="5"/>
        <v>0</v>
      </c>
      <c r="I23" s="279">
        <f t="shared" si="6"/>
        <v>2378.9</v>
      </c>
      <c r="J23" s="280">
        <f t="shared" si="7"/>
        <v>15.25</v>
      </c>
      <c r="K23" s="281">
        <f t="shared" si="8"/>
        <v>16.28</v>
      </c>
      <c r="L23" s="277">
        <f t="shared" si="9"/>
        <v>18.41</v>
      </c>
      <c r="M23" s="279">
        <f t="shared" si="10"/>
        <v>21.24</v>
      </c>
      <c r="O23" s="255" t="s">
        <v>247</v>
      </c>
      <c r="P23" s="256">
        <v>18034.07</v>
      </c>
      <c r="Q23" s="257"/>
      <c r="R23" s="257"/>
      <c r="S23" s="291"/>
      <c r="T23" s="185"/>
    </row>
    <row r="24" spans="1:20" x14ac:dyDescent="0.35">
      <c r="A24" s="282" t="s">
        <v>340</v>
      </c>
      <c r="B24" s="283">
        <f t="shared" si="0"/>
        <v>18341.97</v>
      </c>
      <c r="C24" s="284">
        <f t="shared" si="1"/>
        <v>1528.5</v>
      </c>
      <c r="D24" s="284">
        <f t="shared" si="1"/>
        <v>127.38</v>
      </c>
      <c r="E24" s="284">
        <f t="shared" si="2"/>
        <v>127.38</v>
      </c>
      <c r="F24" s="285">
        <f t="shared" si="3"/>
        <v>1783.26</v>
      </c>
      <c r="G24" s="285">
        <f t="shared" si="4"/>
        <v>636.27</v>
      </c>
      <c r="H24" s="286">
        <f t="shared" si="5"/>
        <v>0</v>
      </c>
      <c r="I24" s="287">
        <f t="shared" si="6"/>
        <v>2419.5299999999997</v>
      </c>
      <c r="J24" s="288">
        <f t="shared" si="7"/>
        <v>15.51</v>
      </c>
      <c r="K24" s="289">
        <f t="shared" si="8"/>
        <v>16.559999999999999</v>
      </c>
      <c r="L24" s="285">
        <f t="shared" si="9"/>
        <v>18.72</v>
      </c>
      <c r="M24" s="287">
        <f t="shared" si="10"/>
        <v>21.6</v>
      </c>
      <c r="O24" s="255" t="s">
        <v>276</v>
      </c>
      <c r="P24" s="256">
        <v>18341.97</v>
      </c>
      <c r="Q24" s="257"/>
      <c r="R24" s="257"/>
      <c r="S24" s="257"/>
    </row>
    <row r="25" spans="1:20" x14ac:dyDescent="0.35">
      <c r="A25" s="258" t="s">
        <v>341</v>
      </c>
      <c r="B25" s="259">
        <f t="shared" si="0"/>
        <v>17970.54</v>
      </c>
      <c r="C25" s="260">
        <f t="shared" si="1"/>
        <v>1497.55</v>
      </c>
      <c r="D25" s="260">
        <f t="shared" si="1"/>
        <v>124.8</v>
      </c>
      <c r="E25" s="260">
        <f t="shared" si="2"/>
        <v>124.8</v>
      </c>
      <c r="F25" s="261">
        <f t="shared" si="3"/>
        <v>1747.1499999999999</v>
      </c>
      <c r="G25" s="261">
        <f t="shared" si="4"/>
        <v>623.38</v>
      </c>
      <c r="H25" s="262">
        <f t="shared" si="5"/>
        <v>0</v>
      </c>
      <c r="I25" s="263">
        <f t="shared" si="6"/>
        <v>2370.5299999999997</v>
      </c>
      <c r="J25" s="264">
        <f t="shared" si="7"/>
        <v>15.2</v>
      </c>
      <c r="K25" s="265">
        <f t="shared" si="8"/>
        <v>16.23</v>
      </c>
      <c r="L25" s="261">
        <f t="shared" si="9"/>
        <v>18.34</v>
      </c>
      <c r="M25" s="263">
        <f t="shared" si="10"/>
        <v>21.17</v>
      </c>
      <c r="O25" s="255" t="s">
        <v>277</v>
      </c>
      <c r="P25" s="256">
        <v>17970.54</v>
      </c>
      <c r="Q25" s="257"/>
      <c r="R25" s="257"/>
      <c r="S25" s="257"/>
    </row>
    <row r="26" spans="1:20" x14ac:dyDescent="0.35">
      <c r="A26" s="258" t="s">
        <v>342</v>
      </c>
      <c r="B26" s="259">
        <f t="shared" si="0"/>
        <v>17656.560000000001</v>
      </c>
      <c r="C26" s="260">
        <f t="shared" si="1"/>
        <v>1471.38</v>
      </c>
      <c r="D26" s="260">
        <f t="shared" si="1"/>
        <v>122.62</v>
      </c>
      <c r="E26" s="260">
        <f t="shared" si="2"/>
        <v>122.62</v>
      </c>
      <c r="F26" s="261">
        <f t="shared" si="3"/>
        <v>1716.6200000000001</v>
      </c>
      <c r="G26" s="261">
        <f t="shared" si="4"/>
        <v>612.49</v>
      </c>
      <c r="H26" s="262">
        <f t="shared" si="5"/>
        <v>0</v>
      </c>
      <c r="I26" s="263">
        <f t="shared" si="6"/>
        <v>2329.11</v>
      </c>
      <c r="J26" s="264">
        <f t="shared" si="7"/>
        <v>14.93</v>
      </c>
      <c r="K26" s="265">
        <f t="shared" si="8"/>
        <v>15.94</v>
      </c>
      <c r="L26" s="261">
        <f t="shared" si="9"/>
        <v>18.02</v>
      </c>
      <c r="M26" s="263">
        <f t="shared" si="10"/>
        <v>20.8</v>
      </c>
      <c r="O26" s="255" t="s">
        <v>278</v>
      </c>
      <c r="P26" s="256">
        <v>17656.560000000001</v>
      </c>
      <c r="Q26" s="257"/>
      <c r="R26" s="257"/>
      <c r="S26" s="257"/>
    </row>
    <row r="27" spans="1:20" x14ac:dyDescent="0.35">
      <c r="A27" s="223" t="s">
        <v>343</v>
      </c>
      <c r="B27" s="224">
        <f t="shared" si="0"/>
        <v>17290.310000000001</v>
      </c>
      <c r="C27" s="225">
        <f t="shared" si="1"/>
        <v>1440.86</v>
      </c>
      <c r="D27" s="225">
        <f t="shared" si="1"/>
        <v>120.07</v>
      </c>
      <c r="E27" s="225">
        <f t="shared" si="2"/>
        <v>120.07</v>
      </c>
      <c r="F27" s="226">
        <f t="shared" si="3"/>
        <v>1681</v>
      </c>
      <c r="G27" s="226">
        <f t="shared" si="4"/>
        <v>599.78</v>
      </c>
      <c r="H27" s="227">
        <f t="shared" si="5"/>
        <v>0</v>
      </c>
      <c r="I27" s="228">
        <f t="shared" si="6"/>
        <v>2280.7799999999997</v>
      </c>
      <c r="J27" s="229">
        <f t="shared" si="7"/>
        <v>14.62</v>
      </c>
      <c r="K27" s="230">
        <f t="shared" si="8"/>
        <v>15.61</v>
      </c>
      <c r="L27" s="226">
        <f t="shared" si="9"/>
        <v>17.649999999999999</v>
      </c>
      <c r="M27" s="228">
        <f t="shared" si="10"/>
        <v>20.36</v>
      </c>
      <c r="O27" s="255" t="s">
        <v>245</v>
      </c>
      <c r="P27" s="256">
        <v>17290.310000000001</v>
      </c>
      <c r="Q27" s="257"/>
      <c r="R27" s="257"/>
      <c r="S27" s="257"/>
    </row>
    <row r="28" spans="1:20" x14ac:dyDescent="0.35">
      <c r="A28" s="231" t="s">
        <v>344</v>
      </c>
      <c r="B28" s="232">
        <f t="shared" si="0"/>
        <v>17060.97</v>
      </c>
      <c r="C28" s="233">
        <f t="shared" si="1"/>
        <v>1421.75</v>
      </c>
      <c r="D28" s="233">
        <f t="shared" si="1"/>
        <v>118.48</v>
      </c>
      <c r="E28" s="233">
        <f t="shared" si="2"/>
        <v>118.48</v>
      </c>
      <c r="F28" s="234">
        <f t="shared" si="3"/>
        <v>1658.71</v>
      </c>
      <c r="G28" s="234">
        <f t="shared" si="4"/>
        <v>591.83000000000004</v>
      </c>
      <c r="H28" s="235">
        <f t="shared" si="5"/>
        <v>0</v>
      </c>
      <c r="I28" s="236">
        <f t="shared" si="6"/>
        <v>2250.54</v>
      </c>
      <c r="J28" s="237">
        <f t="shared" si="7"/>
        <v>14.43</v>
      </c>
      <c r="K28" s="238">
        <f t="shared" si="8"/>
        <v>15.41</v>
      </c>
      <c r="L28" s="234">
        <f t="shared" si="9"/>
        <v>17.41</v>
      </c>
      <c r="M28" s="236">
        <f t="shared" si="10"/>
        <v>20.09</v>
      </c>
      <c r="O28" s="255" t="s">
        <v>240</v>
      </c>
      <c r="P28" s="256">
        <v>17060.97</v>
      </c>
      <c r="Q28" s="257"/>
      <c r="R28" s="257"/>
      <c r="S28" s="257"/>
    </row>
    <row r="29" spans="1:20" x14ac:dyDescent="0.35">
      <c r="A29" s="253"/>
    </row>
    <row r="30" spans="1:20" x14ac:dyDescent="0.35">
      <c r="J30" s="183"/>
    </row>
    <row r="31" spans="1:20" x14ac:dyDescent="0.35">
      <c r="A31" t="s">
        <v>352</v>
      </c>
      <c r="J31" s="183"/>
    </row>
    <row r="33" spans="1:3" x14ac:dyDescent="0.35">
      <c r="A33" t="s">
        <v>353</v>
      </c>
    </row>
    <row r="34" spans="1:3" x14ac:dyDescent="0.35">
      <c r="A34" s="13" t="s">
        <v>354</v>
      </c>
      <c r="B34" s="292">
        <v>0.23799999999999999</v>
      </c>
    </row>
    <row r="35" spans="1:3" x14ac:dyDescent="0.35">
      <c r="A35" s="13" t="s">
        <v>304</v>
      </c>
      <c r="B35" s="292">
        <v>8.5000000000000006E-2</v>
      </c>
    </row>
    <row r="36" spans="1:3" x14ac:dyDescent="0.35">
      <c r="A36" s="13" t="s">
        <v>355</v>
      </c>
      <c r="B36" s="292">
        <v>5.0000000000000001E-3</v>
      </c>
    </row>
    <row r="37" spans="1:3" x14ac:dyDescent="0.35">
      <c r="A37" s="13" t="s">
        <v>356</v>
      </c>
      <c r="B37" s="293">
        <f>3.6%*0.8</f>
        <v>2.8800000000000006E-2</v>
      </c>
    </row>
    <row r="38" spans="1:3" x14ac:dyDescent="0.35">
      <c r="B38" s="292">
        <f>+SUM(B34:B37)</f>
        <v>0.35680000000000001</v>
      </c>
      <c r="C38" s="292">
        <f>+B38+1</f>
        <v>1.3568</v>
      </c>
    </row>
    <row r="39" spans="1:3" x14ac:dyDescent="0.35">
      <c r="B39" s="185"/>
    </row>
    <row r="40" spans="1:3" x14ac:dyDescent="0.35">
      <c r="B40" s="185"/>
    </row>
  </sheetData>
  <mergeCells count="3">
    <mergeCell ref="E1:G1"/>
    <mergeCell ref="E2:G2"/>
    <mergeCell ref="J4:M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7"/>
  <sheetViews>
    <sheetView zoomScaleNormal="100" workbookViewId="0">
      <pane ySplit="9" topLeftCell="A10" activePane="bottomLeft" state="frozen"/>
      <selection pane="bottomLeft" activeCell="N3" sqref="N3"/>
    </sheetView>
  </sheetViews>
  <sheetFormatPr defaultColWidth="8.7265625" defaultRowHeight="14.5" x14ac:dyDescent="0.35"/>
  <cols>
    <col min="1" max="1" width="44.26953125" customWidth="1"/>
    <col min="2" max="2" width="9.1796875" style="183" customWidth="1"/>
    <col min="4" max="4" width="11.1796875" customWidth="1"/>
    <col min="9" max="9" width="13.26953125" customWidth="1"/>
  </cols>
  <sheetData>
    <row r="1" spans="1:19" x14ac:dyDescent="0.35">
      <c r="A1" t="s">
        <v>279</v>
      </c>
      <c r="B1" s="184" t="s">
        <v>280</v>
      </c>
    </row>
    <row r="2" spans="1:19" x14ac:dyDescent="0.35">
      <c r="A2" t="s">
        <v>148</v>
      </c>
      <c r="B2" s="184" t="str">
        <f>+INPUT!C2</f>
        <v>Puglia</v>
      </c>
    </row>
    <row r="3" spans="1:19" x14ac:dyDescent="0.35">
      <c r="A3" t="s">
        <v>281</v>
      </c>
      <c r="B3" s="185">
        <f>+IF(B1="Generale",0.039,INDEX(C48:C51,MATCH(B2,B48:B51,0)))</f>
        <v>0</v>
      </c>
    </row>
    <row r="4" spans="1:19" x14ac:dyDescent="0.35">
      <c r="B4" s="185"/>
    </row>
    <row r="5" spans="1:19" x14ac:dyDescent="0.35">
      <c r="A5" t="s">
        <v>282</v>
      </c>
      <c r="B5" s="186" t="s">
        <v>87</v>
      </c>
    </row>
    <row r="6" spans="1:19" x14ac:dyDescent="0.35">
      <c r="A6" t="s">
        <v>283</v>
      </c>
      <c r="B6" s="183">
        <v>1548</v>
      </c>
      <c r="C6">
        <v>1548</v>
      </c>
    </row>
    <row r="8" spans="1:19" x14ac:dyDescent="0.35">
      <c r="B8" s="294"/>
    </row>
    <row r="9" spans="1:19" s="136" customFormat="1" x14ac:dyDescent="0.35">
      <c r="A9" s="187" t="s">
        <v>284</v>
      </c>
      <c r="B9" s="188" t="s">
        <v>240</v>
      </c>
      <c r="C9" s="148" t="s">
        <v>245</v>
      </c>
      <c r="D9" s="161" t="s">
        <v>247</v>
      </c>
      <c r="E9" s="148" t="s">
        <v>249</v>
      </c>
      <c r="F9" s="161" t="s">
        <v>250</v>
      </c>
      <c r="G9" s="161" t="s">
        <v>254</v>
      </c>
      <c r="H9" s="161" t="s">
        <v>256</v>
      </c>
      <c r="I9" s="148" t="s">
        <v>259</v>
      </c>
      <c r="J9" s="161" t="s">
        <v>255</v>
      </c>
      <c r="K9" s="148" t="s">
        <v>264</v>
      </c>
      <c r="L9" s="161" t="s">
        <v>260</v>
      </c>
      <c r="M9" s="161" t="s">
        <v>262</v>
      </c>
      <c r="N9" s="148" t="s">
        <v>268</v>
      </c>
      <c r="O9" s="161" t="s">
        <v>265</v>
      </c>
      <c r="P9" s="148" t="s">
        <v>271</v>
      </c>
      <c r="Q9" s="161" t="s">
        <v>266</v>
      </c>
      <c r="R9" s="149" t="s">
        <v>274</v>
      </c>
    </row>
    <row r="10" spans="1:19" x14ac:dyDescent="0.35">
      <c r="A10" s="162" t="s">
        <v>285</v>
      </c>
      <c r="B10" s="295">
        <v>1214.99</v>
      </c>
      <c r="C10" s="296">
        <v>1226.23</v>
      </c>
      <c r="D10" s="295">
        <v>1283.3599999999999</v>
      </c>
      <c r="E10" s="296"/>
      <c r="F10" s="295">
        <v>1380.21</v>
      </c>
      <c r="G10" s="295">
        <v>1421.55</v>
      </c>
      <c r="H10" s="295">
        <v>1463.53</v>
      </c>
      <c r="I10" s="296">
        <v>1463.53</v>
      </c>
      <c r="J10" s="295">
        <v>1543.82</v>
      </c>
      <c r="K10" s="296">
        <v>1543.82</v>
      </c>
      <c r="L10" s="295">
        <v>1643.47</v>
      </c>
      <c r="M10" s="295">
        <v>1773.89</v>
      </c>
      <c r="N10" s="296">
        <v>1773.89</v>
      </c>
      <c r="O10" s="295">
        <v>1959.19</v>
      </c>
      <c r="P10" s="296">
        <v>1959.19</v>
      </c>
      <c r="Q10" s="295">
        <v>2237.4699999999998</v>
      </c>
      <c r="R10" s="297">
        <v>2237.4699999999998</v>
      </c>
      <c r="S10" s="183"/>
    </row>
    <row r="11" spans="1:19" x14ac:dyDescent="0.35">
      <c r="A11" s="162" t="s">
        <v>286</v>
      </c>
      <c r="B11" s="295">
        <v>34.86</v>
      </c>
      <c r="C11" s="298">
        <v>40.29</v>
      </c>
      <c r="D11" s="299">
        <v>48.81</v>
      </c>
      <c r="E11" s="298"/>
      <c r="F11" s="299">
        <v>55.77</v>
      </c>
      <c r="G11" s="299">
        <v>58.89</v>
      </c>
      <c r="H11" s="299">
        <v>61.98</v>
      </c>
      <c r="I11" s="298">
        <v>61.98</v>
      </c>
      <c r="J11" s="299">
        <v>69.72</v>
      </c>
      <c r="K11" s="298">
        <v>69.72</v>
      </c>
      <c r="L11" s="299">
        <v>80.58</v>
      </c>
      <c r="M11" s="299">
        <v>94.5</v>
      </c>
      <c r="N11" s="298">
        <v>94.5</v>
      </c>
      <c r="O11" s="299">
        <v>118.53</v>
      </c>
      <c r="P11" s="298">
        <v>118.53</v>
      </c>
      <c r="Q11" s="299">
        <v>139.44</v>
      </c>
      <c r="R11" s="300">
        <v>139.44</v>
      </c>
      <c r="S11" s="183"/>
    </row>
    <row r="12" spans="1:19" x14ac:dyDescent="0.35">
      <c r="A12" s="162" t="s">
        <v>287</v>
      </c>
      <c r="B12" s="295"/>
      <c r="C12" s="296"/>
      <c r="D12" s="295"/>
      <c r="E12" s="296"/>
      <c r="F12" s="295"/>
      <c r="G12" s="295"/>
      <c r="H12" s="295"/>
      <c r="I12" s="298">
        <v>61.97</v>
      </c>
      <c r="J12" s="295"/>
      <c r="K12" s="298">
        <v>154.94</v>
      </c>
      <c r="L12" s="295"/>
      <c r="M12" s="295"/>
      <c r="N12" s="298">
        <v>258.23</v>
      </c>
      <c r="O12" s="295"/>
      <c r="P12" s="298">
        <v>258.23</v>
      </c>
      <c r="Q12" s="295"/>
      <c r="R12" s="300">
        <v>232.41</v>
      </c>
      <c r="S12" s="183"/>
    </row>
    <row r="13" spans="1:19" x14ac:dyDescent="0.35">
      <c r="A13" s="162" t="s">
        <v>288</v>
      </c>
      <c r="B13" s="295"/>
      <c r="C13" s="296"/>
      <c r="D13" s="295"/>
      <c r="E13" s="298"/>
      <c r="F13" s="295"/>
      <c r="G13" s="295"/>
      <c r="H13" s="295"/>
      <c r="I13" s="296"/>
      <c r="J13" s="295"/>
      <c r="K13" s="296"/>
      <c r="L13" s="295"/>
      <c r="M13" s="299">
        <v>77.47</v>
      </c>
      <c r="N13" s="296"/>
      <c r="O13" s="299">
        <v>154.94</v>
      </c>
      <c r="P13" s="296"/>
      <c r="Q13" s="299">
        <v>232.41</v>
      </c>
      <c r="R13" s="297"/>
      <c r="S13" s="183"/>
    </row>
    <row r="14" spans="1:19" x14ac:dyDescent="0.35">
      <c r="A14" s="162" t="s">
        <v>289</v>
      </c>
      <c r="B14" s="295">
        <v>30.98</v>
      </c>
      <c r="C14" s="298">
        <v>31.27</v>
      </c>
      <c r="D14" s="299">
        <v>32.729999999999997</v>
      </c>
      <c r="E14" s="298"/>
      <c r="F14" s="299">
        <v>35.200000000000003</v>
      </c>
      <c r="G14" s="299">
        <v>36.25</v>
      </c>
      <c r="H14" s="299">
        <v>37.32</v>
      </c>
      <c r="I14" s="298">
        <v>37.32</v>
      </c>
      <c r="J14" s="299">
        <v>39.369999999999997</v>
      </c>
      <c r="K14" s="298">
        <v>39.369999999999997</v>
      </c>
      <c r="L14" s="299">
        <v>41.91</v>
      </c>
      <c r="M14" s="299">
        <v>45.23</v>
      </c>
      <c r="N14" s="298">
        <v>45.23</v>
      </c>
      <c r="O14" s="299">
        <v>49.96</v>
      </c>
      <c r="P14" s="298">
        <v>49.96</v>
      </c>
      <c r="Q14" s="299">
        <v>57.06</v>
      </c>
      <c r="R14" s="300">
        <v>57.06</v>
      </c>
      <c r="S14" s="183"/>
    </row>
    <row r="15" spans="1:19" x14ac:dyDescent="0.35">
      <c r="B15" s="194"/>
      <c r="C15" s="183"/>
      <c r="D15" s="194"/>
      <c r="F15" s="194"/>
      <c r="G15" s="194"/>
      <c r="H15" s="194"/>
      <c r="I15" s="183"/>
      <c r="J15" s="194"/>
      <c r="K15" s="183"/>
      <c r="L15" s="194"/>
      <c r="M15" s="194"/>
      <c r="N15" s="183"/>
      <c r="O15" s="194"/>
      <c r="P15" s="183"/>
      <c r="Q15" s="194"/>
      <c r="R15" s="183"/>
    </row>
    <row r="16" spans="1:19" x14ac:dyDescent="0.35">
      <c r="A16" s="162" t="s">
        <v>290</v>
      </c>
      <c r="B16" s="189">
        <f t="shared" ref="B16:R16" si="0">+SUM(B10:B14)</f>
        <v>1280.83</v>
      </c>
      <c r="C16" s="190">
        <f t="shared" si="0"/>
        <v>1297.79</v>
      </c>
      <c r="D16" s="189">
        <f t="shared" si="0"/>
        <v>1364.8999999999999</v>
      </c>
      <c r="E16" s="190">
        <f t="shared" si="0"/>
        <v>0</v>
      </c>
      <c r="F16" s="189">
        <f t="shared" si="0"/>
        <v>1471.18</v>
      </c>
      <c r="G16" s="189">
        <f t="shared" si="0"/>
        <v>1516.69</v>
      </c>
      <c r="H16" s="189">
        <f t="shared" si="0"/>
        <v>1562.83</v>
      </c>
      <c r="I16" s="190">
        <f t="shared" si="0"/>
        <v>1624.8</v>
      </c>
      <c r="J16" s="189">
        <f t="shared" si="0"/>
        <v>1652.9099999999999</v>
      </c>
      <c r="K16" s="190">
        <f t="shared" si="0"/>
        <v>1807.85</v>
      </c>
      <c r="L16" s="189">
        <f t="shared" si="0"/>
        <v>1765.96</v>
      </c>
      <c r="M16" s="189">
        <f t="shared" si="0"/>
        <v>1991.0900000000001</v>
      </c>
      <c r="N16" s="190">
        <f t="shared" si="0"/>
        <v>2171.85</v>
      </c>
      <c r="O16" s="189">
        <f t="shared" si="0"/>
        <v>2282.6200000000003</v>
      </c>
      <c r="P16" s="190">
        <f t="shared" si="0"/>
        <v>2385.9100000000003</v>
      </c>
      <c r="Q16" s="189">
        <f t="shared" si="0"/>
        <v>2666.3799999999997</v>
      </c>
      <c r="R16" s="191">
        <f t="shared" si="0"/>
        <v>2666.3799999999997</v>
      </c>
    </row>
    <row r="17" spans="1:18" x14ac:dyDescent="0.35">
      <c r="A17" s="162" t="s">
        <v>291</v>
      </c>
      <c r="B17" s="189">
        <f t="shared" ref="B17:R17" si="1">+B16*13</f>
        <v>16650.79</v>
      </c>
      <c r="C17" s="190">
        <f t="shared" si="1"/>
        <v>16871.27</v>
      </c>
      <c r="D17" s="189">
        <f t="shared" si="1"/>
        <v>17743.699999999997</v>
      </c>
      <c r="E17" s="190">
        <f t="shared" si="1"/>
        <v>0</v>
      </c>
      <c r="F17" s="189">
        <f t="shared" si="1"/>
        <v>19125.34</v>
      </c>
      <c r="G17" s="189">
        <f t="shared" si="1"/>
        <v>19716.97</v>
      </c>
      <c r="H17" s="189">
        <f t="shared" si="1"/>
        <v>20316.79</v>
      </c>
      <c r="I17" s="190">
        <f t="shared" si="1"/>
        <v>21122.399999999998</v>
      </c>
      <c r="J17" s="189">
        <f t="shared" si="1"/>
        <v>21487.829999999998</v>
      </c>
      <c r="K17" s="190">
        <f t="shared" si="1"/>
        <v>23502.05</v>
      </c>
      <c r="L17" s="189">
        <f t="shared" si="1"/>
        <v>22957.48</v>
      </c>
      <c r="M17" s="189">
        <f t="shared" si="1"/>
        <v>25884.170000000002</v>
      </c>
      <c r="N17" s="190">
        <f t="shared" si="1"/>
        <v>28234.05</v>
      </c>
      <c r="O17" s="189">
        <f t="shared" si="1"/>
        <v>29674.060000000005</v>
      </c>
      <c r="P17" s="190">
        <f t="shared" si="1"/>
        <v>31016.830000000005</v>
      </c>
      <c r="Q17" s="189">
        <f t="shared" si="1"/>
        <v>34662.939999999995</v>
      </c>
      <c r="R17" s="191">
        <f t="shared" si="1"/>
        <v>34662.939999999995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2" t="s">
        <v>292</v>
      </c>
      <c r="B19" s="189"/>
      <c r="C19" s="192"/>
      <c r="D19" s="163"/>
      <c r="E19" s="192"/>
      <c r="F19" s="163"/>
      <c r="G19" s="163"/>
      <c r="H19" s="163"/>
      <c r="I19" s="192"/>
      <c r="J19" s="163"/>
      <c r="K19" s="192"/>
      <c r="L19" s="163"/>
      <c r="M19" s="163"/>
      <c r="N19" s="192"/>
      <c r="O19" s="163"/>
      <c r="P19" s="192"/>
      <c r="Q19" s="163"/>
      <c r="R19" s="193"/>
    </row>
    <row r="20" spans="1:18" x14ac:dyDescent="0.35">
      <c r="A20" s="162" t="s">
        <v>357</v>
      </c>
      <c r="B20" s="189">
        <f>+B17*0.2733</f>
        <v>4550.6609070000004</v>
      </c>
      <c r="C20" s="190">
        <f>+C17*0.2733</f>
        <v>4610.9180909999995</v>
      </c>
      <c r="D20" s="189">
        <f>+D17*0.2733</f>
        <v>4849.3532099999993</v>
      </c>
      <c r="E20" s="190"/>
      <c r="F20" s="189">
        <f t="shared" ref="F20:R20" si="2">+F17*0.2733</f>
        <v>5226.955422</v>
      </c>
      <c r="G20" s="189">
        <f t="shared" si="2"/>
        <v>5388.6479010000003</v>
      </c>
      <c r="H20" s="189">
        <f t="shared" si="2"/>
        <v>5552.5787069999997</v>
      </c>
      <c r="I20" s="190">
        <f t="shared" si="2"/>
        <v>5772.7519199999988</v>
      </c>
      <c r="J20" s="189">
        <f t="shared" si="2"/>
        <v>5872.6239389999992</v>
      </c>
      <c r="K20" s="190">
        <f t="shared" si="2"/>
        <v>6423.1102649999993</v>
      </c>
      <c r="L20" s="189">
        <f t="shared" si="2"/>
        <v>6274.2792839999993</v>
      </c>
      <c r="M20" s="189">
        <f t="shared" si="2"/>
        <v>7074.1436610000001</v>
      </c>
      <c r="N20" s="190">
        <f t="shared" si="2"/>
        <v>7716.3658649999998</v>
      </c>
      <c r="O20" s="189">
        <f t="shared" si="2"/>
        <v>8109.9205980000006</v>
      </c>
      <c r="P20" s="190">
        <f t="shared" si="2"/>
        <v>8476.8996390000011</v>
      </c>
      <c r="Q20" s="189">
        <f t="shared" si="2"/>
        <v>9473.3815019999984</v>
      </c>
      <c r="R20" s="191">
        <f t="shared" si="2"/>
        <v>9473.3815019999984</v>
      </c>
    </row>
    <row r="21" spans="1:18" x14ac:dyDescent="0.35">
      <c r="A21" s="162" t="s">
        <v>294</v>
      </c>
      <c r="B21" s="189">
        <f>+B17*0.03</f>
        <v>499.52370000000002</v>
      </c>
      <c r="C21" s="190">
        <f>+C17*0.03</f>
        <v>506.13810000000001</v>
      </c>
      <c r="D21" s="189">
        <f>+D17*0.03</f>
        <v>532.31099999999992</v>
      </c>
      <c r="E21" s="190"/>
      <c r="F21" s="189">
        <f t="shared" ref="F21:R21" si="3">+F17*0.03</f>
        <v>573.76019999999994</v>
      </c>
      <c r="G21" s="189">
        <f t="shared" si="3"/>
        <v>591.50909999999999</v>
      </c>
      <c r="H21" s="189">
        <f t="shared" si="3"/>
        <v>609.50369999999998</v>
      </c>
      <c r="I21" s="190">
        <f t="shared" si="3"/>
        <v>633.67199999999991</v>
      </c>
      <c r="J21" s="189">
        <f t="shared" si="3"/>
        <v>644.6348999999999</v>
      </c>
      <c r="K21" s="190">
        <f t="shared" si="3"/>
        <v>705.06149999999991</v>
      </c>
      <c r="L21" s="189">
        <f t="shared" si="3"/>
        <v>688.72439999999995</v>
      </c>
      <c r="M21" s="189">
        <f t="shared" si="3"/>
        <v>776.52510000000007</v>
      </c>
      <c r="N21" s="190">
        <f t="shared" si="3"/>
        <v>847.02149999999995</v>
      </c>
      <c r="O21" s="189">
        <f t="shared" si="3"/>
        <v>890.22180000000014</v>
      </c>
      <c r="P21" s="190">
        <f t="shared" si="3"/>
        <v>930.50490000000013</v>
      </c>
      <c r="Q21" s="189">
        <f t="shared" si="3"/>
        <v>1039.8881999999999</v>
      </c>
      <c r="R21" s="191">
        <f t="shared" si="3"/>
        <v>1039.8881999999999</v>
      </c>
    </row>
    <row r="22" spans="1:18" x14ac:dyDescent="0.35">
      <c r="A22" s="162" t="s">
        <v>295</v>
      </c>
      <c r="B22" s="189">
        <f>+B21+B20</f>
        <v>5050.1846070000001</v>
      </c>
      <c r="C22" s="190">
        <f>+C21+C20</f>
        <v>5117.0561909999997</v>
      </c>
      <c r="D22" s="189">
        <f>+D21+D20</f>
        <v>5381.664209999999</v>
      </c>
      <c r="E22" s="190"/>
      <c r="F22" s="189">
        <f t="shared" ref="F22:R22" si="4">+F21+F20</f>
        <v>5800.7156219999997</v>
      </c>
      <c r="G22" s="189">
        <f t="shared" si="4"/>
        <v>5980.1570010000005</v>
      </c>
      <c r="H22" s="189">
        <f t="shared" si="4"/>
        <v>6162.0824069999999</v>
      </c>
      <c r="I22" s="190">
        <f t="shared" si="4"/>
        <v>6406.4239199999984</v>
      </c>
      <c r="J22" s="189">
        <f t="shared" si="4"/>
        <v>6517.2588389999992</v>
      </c>
      <c r="K22" s="190">
        <f t="shared" si="4"/>
        <v>7128.1717649999991</v>
      </c>
      <c r="L22" s="189">
        <f t="shared" si="4"/>
        <v>6963.0036839999993</v>
      </c>
      <c r="M22" s="189">
        <f t="shared" si="4"/>
        <v>7850.6687609999999</v>
      </c>
      <c r="N22" s="190">
        <f t="shared" si="4"/>
        <v>8563.3873650000005</v>
      </c>
      <c r="O22" s="189">
        <f t="shared" si="4"/>
        <v>9000.142398</v>
      </c>
      <c r="P22" s="190">
        <f t="shared" si="4"/>
        <v>9407.404539000001</v>
      </c>
      <c r="Q22" s="189">
        <f t="shared" si="4"/>
        <v>10513.269701999998</v>
      </c>
      <c r="R22" s="191">
        <f t="shared" si="4"/>
        <v>10513.269701999998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t="s">
        <v>358</v>
      </c>
      <c r="B24" s="194">
        <v>200</v>
      </c>
      <c r="C24">
        <v>200</v>
      </c>
      <c r="D24" s="195">
        <v>200</v>
      </c>
      <c r="F24" s="195">
        <v>200</v>
      </c>
      <c r="G24" s="195">
        <v>200</v>
      </c>
      <c r="H24" s="195">
        <v>200</v>
      </c>
      <c r="I24">
        <v>200</v>
      </c>
      <c r="J24" s="195">
        <v>200</v>
      </c>
      <c r="K24">
        <v>200</v>
      </c>
      <c r="L24" s="195">
        <v>200</v>
      </c>
      <c r="M24" s="195">
        <v>200</v>
      </c>
      <c r="N24">
        <v>200</v>
      </c>
      <c r="O24" s="195">
        <v>200</v>
      </c>
      <c r="P24">
        <v>200</v>
      </c>
      <c r="Q24" s="195">
        <v>200</v>
      </c>
      <c r="R24">
        <v>200</v>
      </c>
    </row>
    <row r="25" spans="1:18" x14ac:dyDescent="0.35">
      <c r="A25" s="162" t="s">
        <v>296</v>
      </c>
      <c r="B25" s="189">
        <f>+B16*0.962962</f>
        <v>1233.3906184599998</v>
      </c>
      <c r="C25" s="190">
        <f>+C16*0.962962</f>
        <v>1249.72245398</v>
      </c>
      <c r="D25" s="189">
        <f>+D16*0.962962</f>
        <v>1314.3468337999998</v>
      </c>
      <c r="E25" s="190"/>
      <c r="F25" s="189">
        <f t="shared" ref="F25:R25" si="5">+F16*0.962962</f>
        <v>1416.6904351600001</v>
      </c>
      <c r="G25" s="189">
        <f t="shared" si="5"/>
        <v>1460.5148357800001</v>
      </c>
      <c r="H25" s="189">
        <f t="shared" si="5"/>
        <v>1504.9459024599998</v>
      </c>
      <c r="I25" s="190">
        <f t="shared" si="5"/>
        <v>1564.6206576</v>
      </c>
      <c r="J25" s="189">
        <f t="shared" si="5"/>
        <v>1591.6895194199999</v>
      </c>
      <c r="K25" s="190">
        <f t="shared" si="5"/>
        <v>1740.8908517</v>
      </c>
      <c r="L25" s="189">
        <f t="shared" si="5"/>
        <v>1700.5523735199999</v>
      </c>
      <c r="M25" s="189">
        <f t="shared" si="5"/>
        <v>1917.34400858</v>
      </c>
      <c r="N25" s="190">
        <f t="shared" si="5"/>
        <v>2091.4090197</v>
      </c>
      <c r="O25" s="189">
        <f t="shared" si="5"/>
        <v>2198.0763204400005</v>
      </c>
      <c r="P25" s="190">
        <f t="shared" si="5"/>
        <v>2297.5406654200001</v>
      </c>
      <c r="Q25" s="189">
        <f t="shared" si="5"/>
        <v>2567.6226175599995</v>
      </c>
      <c r="R25" s="191">
        <f t="shared" si="5"/>
        <v>2567.6226175599995</v>
      </c>
    </row>
    <row r="26" spans="1:18" x14ac:dyDescent="0.35">
      <c r="A26" s="162" t="s">
        <v>359</v>
      </c>
      <c r="B26" s="189">
        <f>+B25*0.022418*6</f>
        <v>165.90090530781765</v>
      </c>
      <c r="C26" s="190">
        <f>+C25*0.022418*6</f>
        <v>168.09766783994183</v>
      </c>
      <c r="D26" s="189">
        <f>+D25*0.022418*6</f>
        <v>176.79016392077037</v>
      </c>
      <c r="E26" s="190"/>
      <c r="F26" s="189">
        <f t="shared" ref="F26:R26" si="6">+F25*0.022418*6</f>
        <v>190.55619705250129</v>
      </c>
      <c r="G26" s="189">
        <f t="shared" si="6"/>
        <v>196.45092953109628</v>
      </c>
      <c r="H26" s="189">
        <f t="shared" si="6"/>
        <v>202.42726344808966</v>
      </c>
      <c r="I26" s="190">
        <f t="shared" si="6"/>
        <v>210.45399541246081</v>
      </c>
      <c r="J26" s="189">
        <f t="shared" si="6"/>
        <v>214.09497387814537</v>
      </c>
      <c r="K26" s="190">
        <f t="shared" si="6"/>
        <v>234.16374668046359</v>
      </c>
      <c r="L26" s="189">
        <f t="shared" si="6"/>
        <v>228.73789865742816</v>
      </c>
      <c r="M26" s="189">
        <f t="shared" si="6"/>
        <v>257.89810790607862</v>
      </c>
      <c r="N26" s="190">
        <f t="shared" si="6"/>
        <v>281.3112444218076</v>
      </c>
      <c r="O26" s="189">
        <f t="shared" si="6"/>
        <v>295.65884970974361</v>
      </c>
      <c r="P26" s="190">
        <f t="shared" si="6"/>
        <v>309.03759982431336</v>
      </c>
      <c r="Q26" s="189">
        <f t="shared" si="6"/>
        <v>345.36578304276043</v>
      </c>
      <c r="R26" s="191">
        <f t="shared" si="6"/>
        <v>345.36578304276043</v>
      </c>
    </row>
    <row r="27" spans="1:18" x14ac:dyDescent="0.35">
      <c r="A27" s="162" t="s">
        <v>360</v>
      </c>
      <c r="B27" s="189">
        <f>+B17*0.015</f>
        <v>249.76185000000001</v>
      </c>
      <c r="C27" s="190">
        <f>+C17*0.015</f>
        <v>253.06905</v>
      </c>
      <c r="D27" s="189">
        <f>+D17*0.015</f>
        <v>266.15549999999996</v>
      </c>
      <c r="E27" s="190"/>
      <c r="F27" s="189">
        <f t="shared" ref="F27:R27" si="7">+F17*0.015</f>
        <v>286.88009999999997</v>
      </c>
      <c r="G27" s="189">
        <f t="shared" si="7"/>
        <v>295.75454999999999</v>
      </c>
      <c r="H27" s="189">
        <f t="shared" si="7"/>
        <v>304.75184999999999</v>
      </c>
      <c r="I27" s="190">
        <f t="shared" si="7"/>
        <v>316.83599999999996</v>
      </c>
      <c r="J27" s="189">
        <f t="shared" si="7"/>
        <v>322.31744999999995</v>
      </c>
      <c r="K27" s="190">
        <f t="shared" si="7"/>
        <v>352.53074999999995</v>
      </c>
      <c r="L27" s="189">
        <f t="shared" si="7"/>
        <v>344.36219999999997</v>
      </c>
      <c r="M27" s="189">
        <f t="shared" si="7"/>
        <v>388.26255000000003</v>
      </c>
      <c r="N27" s="190">
        <f t="shared" si="7"/>
        <v>423.51074999999997</v>
      </c>
      <c r="O27" s="189">
        <f t="shared" si="7"/>
        <v>445.11090000000007</v>
      </c>
      <c r="P27" s="190">
        <f t="shared" si="7"/>
        <v>465.25245000000007</v>
      </c>
      <c r="Q27" s="189">
        <f t="shared" si="7"/>
        <v>519.94409999999993</v>
      </c>
      <c r="R27" s="191">
        <f t="shared" si="7"/>
        <v>519.94409999999993</v>
      </c>
    </row>
    <row r="28" spans="1:18" x14ac:dyDescent="0.35">
      <c r="A28" s="162" t="s">
        <v>299</v>
      </c>
      <c r="B28" s="163">
        <v>66</v>
      </c>
      <c r="C28" s="192">
        <v>66</v>
      </c>
      <c r="D28" s="163">
        <v>66</v>
      </c>
      <c r="E28" s="192"/>
      <c r="F28" s="163">
        <v>66</v>
      </c>
      <c r="G28" s="163">
        <v>66</v>
      </c>
      <c r="H28" s="163">
        <v>66</v>
      </c>
      <c r="I28" s="192">
        <v>66</v>
      </c>
      <c r="J28" s="163">
        <v>66</v>
      </c>
      <c r="K28" s="192">
        <v>66</v>
      </c>
      <c r="L28" s="163">
        <v>66</v>
      </c>
      <c r="M28" s="163">
        <v>66</v>
      </c>
      <c r="N28" s="192">
        <v>66</v>
      </c>
      <c r="O28" s="163">
        <v>66</v>
      </c>
      <c r="P28" s="192">
        <v>66</v>
      </c>
      <c r="Q28" s="163">
        <v>66</v>
      </c>
      <c r="R28" s="193">
        <v>66</v>
      </c>
    </row>
    <row r="29" spans="1:18" x14ac:dyDescent="0.35">
      <c r="B29" s="194"/>
      <c r="D29" s="195"/>
      <c r="F29" s="195"/>
      <c r="G29" s="195"/>
      <c r="H29" s="195"/>
      <c r="J29" s="195"/>
      <c r="L29" s="195"/>
      <c r="M29" s="195"/>
      <c r="O29" s="195"/>
      <c r="Q29" s="195"/>
    </row>
    <row r="30" spans="1:18" x14ac:dyDescent="0.35">
      <c r="A30" s="162" t="s">
        <v>300</v>
      </c>
      <c r="B30" s="189">
        <f>+B17+B22+B25+B26+B27+B28+B24</f>
        <v>23616.027980767816</v>
      </c>
      <c r="C30" s="190">
        <f>+C17+C22+C25+C26+C27+C28+C24</f>
        <v>23925.215362819941</v>
      </c>
      <c r="D30" s="189">
        <f>+D17+D22+D25+D26+D27+D28+D24</f>
        <v>25148.656707720766</v>
      </c>
      <c r="E30" s="190"/>
      <c r="F30" s="189">
        <f t="shared" ref="F30:R30" si="8">+F17+F22+F25+F26+F27+F28+F24</f>
        <v>27086.182354212498</v>
      </c>
      <c r="G30" s="189">
        <f t="shared" si="8"/>
        <v>27915.847316311098</v>
      </c>
      <c r="H30" s="189">
        <f t="shared" si="8"/>
        <v>28756.997422908094</v>
      </c>
      <c r="I30" s="190">
        <f t="shared" si="8"/>
        <v>29886.734573012454</v>
      </c>
      <c r="J30" s="189">
        <f t="shared" si="8"/>
        <v>30399.190782298141</v>
      </c>
      <c r="K30" s="190">
        <f t="shared" si="8"/>
        <v>33223.807113380462</v>
      </c>
      <c r="L30" s="189">
        <f t="shared" si="8"/>
        <v>32460.136156177428</v>
      </c>
      <c r="M30" s="189">
        <f t="shared" si="8"/>
        <v>36564.343427486077</v>
      </c>
      <c r="N30" s="190">
        <f t="shared" si="8"/>
        <v>39859.668379121802</v>
      </c>
      <c r="O30" s="189">
        <f t="shared" si="8"/>
        <v>41879.048468149747</v>
      </c>
      <c r="P30" s="190">
        <f t="shared" si="8"/>
        <v>43762.065254244313</v>
      </c>
      <c r="Q30" s="189">
        <f t="shared" si="8"/>
        <v>48875.142202602758</v>
      </c>
      <c r="R30" s="191">
        <f t="shared" si="8"/>
        <v>48875.142202602758</v>
      </c>
    </row>
    <row r="31" spans="1:18" x14ac:dyDescent="0.35">
      <c r="A31" s="162" t="s">
        <v>282</v>
      </c>
      <c r="B31" s="189">
        <f>+IF($B$5="Si",B56,0)</f>
        <v>0</v>
      </c>
      <c r="C31" s="190">
        <f>+IF($B$5="Si",C56,0)</f>
        <v>0</v>
      </c>
      <c r="D31" s="189">
        <f>+IF($B$5="Si",D56,0)</f>
        <v>0</v>
      </c>
      <c r="E31" s="190"/>
      <c r="F31" s="189">
        <f t="shared" ref="F31:R31" si="9">+IF($B$5="Si",F56,0)</f>
        <v>0</v>
      </c>
      <c r="G31" s="189">
        <f t="shared" si="9"/>
        <v>0</v>
      </c>
      <c r="H31" s="189">
        <f t="shared" si="9"/>
        <v>0</v>
      </c>
      <c r="I31" s="190">
        <f t="shared" si="9"/>
        <v>0</v>
      </c>
      <c r="J31" s="189">
        <f t="shared" si="9"/>
        <v>0</v>
      </c>
      <c r="K31" s="190">
        <f t="shared" si="9"/>
        <v>0</v>
      </c>
      <c r="L31" s="189">
        <f t="shared" si="9"/>
        <v>0</v>
      </c>
      <c r="M31" s="189">
        <f t="shared" si="9"/>
        <v>0</v>
      </c>
      <c r="N31" s="190">
        <f t="shared" si="9"/>
        <v>0</v>
      </c>
      <c r="O31" s="189">
        <f t="shared" si="9"/>
        <v>0</v>
      </c>
      <c r="P31" s="190">
        <f t="shared" si="9"/>
        <v>0</v>
      </c>
      <c r="Q31" s="189">
        <f t="shared" si="9"/>
        <v>0</v>
      </c>
      <c r="R31" s="191">
        <f t="shared" si="9"/>
        <v>0</v>
      </c>
    </row>
    <row r="32" spans="1:18" x14ac:dyDescent="0.35">
      <c r="B32" s="194"/>
      <c r="C32" s="183"/>
      <c r="D32" s="194"/>
      <c r="E32" s="183"/>
      <c r="F32" s="194"/>
      <c r="G32" s="194"/>
      <c r="H32" s="194"/>
      <c r="I32" s="183"/>
      <c r="J32" s="194"/>
      <c r="K32" s="183"/>
      <c r="L32" s="194"/>
      <c r="M32" s="194"/>
      <c r="N32" s="183"/>
      <c r="O32" s="194"/>
      <c r="P32" s="183"/>
      <c r="Q32" s="194"/>
      <c r="R32" s="183"/>
    </row>
    <row r="33" spans="1:18" x14ac:dyDescent="0.35">
      <c r="A33" s="196" t="s">
        <v>301</v>
      </c>
      <c r="B33" s="301">
        <f>+B31+B30</f>
        <v>23616.027980767816</v>
      </c>
      <c r="C33" s="302">
        <f>+C31+C30</f>
        <v>23925.215362819941</v>
      </c>
      <c r="D33" s="301">
        <f>+D31+D30</f>
        <v>25148.656707720766</v>
      </c>
      <c r="E33" s="302"/>
      <c r="F33" s="301">
        <f t="shared" ref="F33:R33" si="10">+F31+F30</f>
        <v>27086.182354212498</v>
      </c>
      <c r="G33" s="301">
        <f t="shared" si="10"/>
        <v>27915.847316311098</v>
      </c>
      <c r="H33" s="301">
        <f t="shared" si="10"/>
        <v>28756.997422908094</v>
      </c>
      <c r="I33" s="302">
        <f t="shared" si="10"/>
        <v>29886.734573012454</v>
      </c>
      <c r="J33" s="301">
        <f t="shared" si="10"/>
        <v>30399.190782298141</v>
      </c>
      <c r="K33" s="302">
        <f t="shared" si="10"/>
        <v>33223.807113380462</v>
      </c>
      <c r="L33" s="301">
        <f t="shared" si="10"/>
        <v>32460.136156177428</v>
      </c>
      <c r="M33" s="301">
        <f t="shared" si="10"/>
        <v>36564.343427486077</v>
      </c>
      <c r="N33" s="302">
        <f t="shared" si="10"/>
        <v>39859.668379121802</v>
      </c>
      <c r="O33" s="301">
        <f t="shared" si="10"/>
        <v>41879.048468149747</v>
      </c>
      <c r="P33" s="302">
        <f t="shared" si="10"/>
        <v>43762.065254244313</v>
      </c>
      <c r="Q33" s="301">
        <f t="shared" si="10"/>
        <v>48875.142202602758</v>
      </c>
      <c r="R33" s="303">
        <f t="shared" si="10"/>
        <v>48875.142202602758</v>
      </c>
    </row>
    <row r="34" spans="1:18" x14ac:dyDescent="0.35">
      <c r="B34" s="194"/>
      <c r="C34" s="183"/>
      <c r="D34" s="194"/>
      <c r="E34" s="183"/>
      <c r="F34" s="194"/>
      <c r="G34" s="194"/>
      <c r="H34" s="194"/>
      <c r="I34" s="183"/>
      <c r="J34" s="194"/>
      <c r="K34" s="183"/>
      <c r="L34" s="194"/>
      <c r="M34" s="194"/>
      <c r="N34" s="183"/>
      <c r="O34" s="194"/>
      <c r="P34" s="183"/>
      <c r="Q34" s="194"/>
      <c r="R34" s="183"/>
    </row>
    <row r="35" spans="1:18" x14ac:dyDescent="0.35">
      <c r="A35" s="162" t="s">
        <v>117</v>
      </c>
      <c r="B35" s="189">
        <f>+ROUND(B33/$B$6,2)</f>
        <v>15.26</v>
      </c>
      <c r="C35" s="190">
        <f>+ROUND(C33/$B$6,2)</f>
        <v>15.46</v>
      </c>
      <c r="D35" s="189">
        <f>+ROUND(D33/$B$6,2)</f>
        <v>16.25</v>
      </c>
      <c r="E35" s="190"/>
      <c r="F35" s="189">
        <f t="shared" ref="F35:R35" si="11">+ROUND(F33/$B$6,2)</f>
        <v>17.5</v>
      </c>
      <c r="G35" s="189">
        <f t="shared" si="11"/>
        <v>18.03</v>
      </c>
      <c r="H35" s="189">
        <f t="shared" si="11"/>
        <v>18.579999999999998</v>
      </c>
      <c r="I35" s="190">
        <f t="shared" si="11"/>
        <v>19.309999999999999</v>
      </c>
      <c r="J35" s="189">
        <f t="shared" si="11"/>
        <v>19.64</v>
      </c>
      <c r="K35" s="190">
        <f t="shared" si="11"/>
        <v>21.46</v>
      </c>
      <c r="L35" s="189">
        <f t="shared" si="11"/>
        <v>20.97</v>
      </c>
      <c r="M35" s="189">
        <f t="shared" si="11"/>
        <v>23.62</v>
      </c>
      <c r="N35" s="190">
        <f t="shared" si="11"/>
        <v>25.75</v>
      </c>
      <c r="O35" s="189">
        <f t="shared" si="11"/>
        <v>27.05</v>
      </c>
      <c r="P35" s="190">
        <f t="shared" si="11"/>
        <v>28.27</v>
      </c>
      <c r="Q35" s="189">
        <f t="shared" si="11"/>
        <v>31.57</v>
      </c>
      <c r="R35" s="191">
        <f t="shared" si="11"/>
        <v>31.57</v>
      </c>
    </row>
    <row r="36" spans="1:18" x14ac:dyDescent="0.35">
      <c r="A36" s="162" t="s">
        <v>302</v>
      </c>
      <c r="B36" s="189">
        <f t="shared" ref="B36:R36" si="12">+B33-B21-B27-B24</f>
        <v>22666.742430767816</v>
      </c>
      <c r="C36" s="190">
        <f t="shared" si="12"/>
        <v>22966.008212819943</v>
      </c>
      <c r="D36" s="189">
        <f t="shared" si="12"/>
        <v>24150.190207720763</v>
      </c>
      <c r="E36" s="190">
        <f t="shared" si="12"/>
        <v>0</v>
      </c>
      <c r="F36" s="189">
        <f t="shared" si="12"/>
        <v>26025.542054212499</v>
      </c>
      <c r="G36" s="189">
        <f t="shared" si="12"/>
        <v>26828.583666311097</v>
      </c>
      <c r="H36" s="189">
        <f t="shared" si="12"/>
        <v>27642.741872908093</v>
      </c>
      <c r="I36" s="190">
        <f t="shared" si="12"/>
        <v>28736.226573012456</v>
      </c>
      <c r="J36" s="189">
        <f t="shared" si="12"/>
        <v>29232.238432298142</v>
      </c>
      <c r="K36" s="190">
        <f t="shared" si="12"/>
        <v>31966.214863380461</v>
      </c>
      <c r="L36" s="189">
        <f t="shared" si="12"/>
        <v>31227.04955617743</v>
      </c>
      <c r="M36" s="189">
        <f t="shared" si="12"/>
        <v>35199.555777486079</v>
      </c>
      <c r="N36" s="190">
        <f t="shared" si="12"/>
        <v>38389.136129121798</v>
      </c>
      <c r="O36" s="189">
        <f t="shared" si="12"/>
        <v>40343.715768149748</v>
      </c>
      <c r="P36" s="190">
        <f t="shared" si="12"/>
        <v>42166.307904244313</v>
      </c>
      <c r="Q36" s="189">
        <f t="shared" si="12"/>
        <v>47115.309902602756</v>
      </c>
      <c r="R36" s="191">
        <f t="shared" si="12"/>
        <v>47115.309902602756</v>
      </c>
    </row>
    <row r="37" spans="1:18" x14ac:dyDescent="0.35">
      <c r="A37" s="162" t="s">
        <v>303</v>
      </c>
      <c r="B37" s="189">
        <f>+ROUND(B36/$B$6,2)</f>
        <v>14.64</v>
      </c>
      <c r="C37" s="190">
        <f>+ROUND(C36/$B$6,2)</f>
        <v>14.84</v>
      </c>
      <c r="D37" s="189">
        <f>+ROUND(D36/$B$6,2)</f>
        <v>15.6</v>
      </c>
      <c r="E37" s="190"/>
      <c r="F37" s="189">
        <f t="shared" ref="F37:R37" si="13">+ROUND(F36/$B$6,2)</f>
        <v>16.809999999999999</v>
      </c>
      <c r="G37" s="189">
        <f t="shared" si="13"/>
        <v>17.329999999999998</v>
      </c>
      <c r="H37" s="189">
        <f t="shared" si="13"/>
        <v>17.86</v>
      </c>
      <c r="I37" s="190">
        <f t="shared" si="13"/>
        <v>18.559999999999999</v>
      </c>
      <c r="J37" s="189">
        <f t="shared" si="13"/>
        <v>18.88</v>
      </c>
      <c r="K37" s="190">
        <f t="shared" si="13"/>
        <v>20.65</v>
      </c>
      <c r="L37" s="189">
        <f t="shared" si="13"/>
        <v>20.170000000000002</v>
      </c>
      <c r="M37" s="189">
        <f t="shared" si="13"/>
        <v>22.74</v>
      </c>
      <c r="N37" s="190">
        <f t="shared" si="13"/>
        <v>24.8</v>
      </c>
      <c r="O37" s="189">
        <f t="shared" si="13"/>
        <v>26.06</v>
      </c>
      <c r="P37" s="190">
        <f t="shared" si="13"/>
        <v>27.24</v>
      </c>
      <c r="Q37" s="189">
        <f t="shared" si="13"/>
        <v>30.44</v>
      </c>
      <c r="R37" s="191">
        <f t="shared" si="13"/>
        <v>30.44</v>
      </c>
    </row>
    <row r="38" spans="1:18" x14ac:dyDescent="0.35">
      <c r="A38" s="162" t="s">
        <v>361</v>
      </c>
      <c r="B38" s="189">
        <f>+B37*0.039</f>
        <v>0.57096000000000002</v>
      </c>
      <c r="C38" s="190">
        <f>+C37*0.039</f>
        <v>0.57875999999999994</v>
      </c>
      <c r="D38" s="189">
        <f>+D37*0.039</f>
        <v>0.60839999999999994</v>
      </c>
      <c r="E38" s="190"/>
      <c r="F38" s="189">
        <f t="shared" ref="F38:R38" si="14">+F37*0.039</f>
        <v>0.6555899999999999</v>
      </c>
      <c r="G38" s="189">
        <f t="shared" si="14"/>
        <v>0.67586999999999997</v>
      </c>
      <c r="H38" s="189">
        <f t="shared" si="14"/>
        <v>0.69653999999999994</v>
      </c>
      <c r="I38" s="190">
        <f t="shared" si="14"/>
        <v>0.72383999999999993</v>
      </c>
      <c r="J38" s="189">
        <f t="shared" si="14"/>
        <v>0.73631999999999997</v>
      </c>
      <c r="K38" s="190">
        <f t="shared" si="14"/>
        <v>0.8053499999999999</v>
      </c>
      <c r="L38" s="189">
        <f t="shared" si="14"/>
        <v>0.78663000000000005</v>
      </c>
      <c r="M38" s="189">
        <f t="shared" si="14"/>
        <v>0.88685999999999998</v>
      </c>
      <c r="N38" s="190">
        <f t="shared" si="14"/>
        <v>0.96720000000000006</v>
      </c>
      <c r="O38" s="189">
        <f t="shared" si="14"/>
        <v>1.01634</v>
      </c>
      <c r="P38" s="190">
        <f t="shared" si="14"/>
        <v>1.06236</v>
      </c>
      <c r="Q38" s="189">
        <f t="shared" si="14"/>
        <v>1.18716</v>
      </c>
      <c r="R38" s="191">
        <f t="shared" si="14"/>
        <v>1.18716</v>
      </c>
    </row>
    <row r="39" spans="1:18" x14ac:dyDescent="0.35">
      <c r="A39" s="162" t="s">
        <v>304</v>
      </c>
      <c r="B39" s="189">
        <f>+ROUND(B37*$B$3,2)</f>
        <v>0</v>
      </c>
      <c r="C39" s="190">
        <f>+ROUND(C37*$B$3,2)</f>
        <v>0</v>
      </c>
      <c r="D39" s="189">
        <f>+ROUND(D37*$B$3,2)</f>
        <v>0</v>
      </c>
      <c r="E39" s="190"/>
      <c r="F39" s="189">
        <f t="shared" ref="F39:R39" si="15">+ROUND(F37*$B$3,2)</f>
        <v>0</v>
      </c>
      <c r="G39" s="189">
        <f t="shared" si="15"/>
        <v>0</v>
      </c>
      <c r="H39" s="189">
        <f t="shared" si="15"/>
        <v>0</v>
      </c>
      <c r="I39" s="190">
        <f t="shared" si="15"/>
        <v>0</v>
      </c>
      <c r="J39" s="189">
        <f t="shared" si="15"/>
        <v>0</v>
      </c>
      <c r="K39" s="190">
        <f t="shared" si="15"/>
        <v>0</v>
      </c>
      <c r="L39" s="189">
        <f t="shared" si="15"/>
        <v>0</v>
      </c>
      <c r="M39" s="189">
        <f t="shared" si="15"/>
        <v>0</v>
      </c>
      <c r="N39" s="190">
        <f t="shared" si="15"/>
        <v>0</v>
      </c>
      <c r="O39" s="189">
        <f t="shared" si="15"/>
        <v>0</v>
      </c>
      <c r="P39" s="190">
        <f t="shared" si="15"/>
        <v>0</v>
      </c>
      <c r="Q39" s="189">
        <f t="shared" si="15"/>
        <v>0</v>
      </c>
      <c r="R39" s="191">
        <f t="shared" si="15"/>
        <v>0</v>
      </c>
    </row>
    <row r="40" spans="1:18" x14ac:dyDescent="0.35">
      <c r="A40" s="196" t="s">
        <v>305</v>
      </c>
      <c r="B40" s="304">
        <f>+B39+B35</f>
        <v>15.26</v>
      </c>
      <c r="C40" s="305">
        <f>+C39+C35</f>
        <v>15.46</v>
      </c>
      <c r="D40" s="304">
        <f>+D39+D35</f>
        <v>16.25</v>
      </c>
      <c r="E40" s="305"/>
      <c r="F40" s="304">
        <f t="shared" ref="F40:R40" si="16">+F39+F35</f>
        <v>17.5</v>
      </c>
      <c r="G40" s="304">
        <f t="shared" si="16"/>
        <v>18.03</v>
      </c>
      <c r="H40" s="304">
        <f t="shared" si="16"/>
        <v>18.579999999999998</v>
      </c>
      <c r="I40" s="305">
        <f t="shared" si="16"/>
        <v>19.309999999999999</v>
      </c>
      <c r="J40" s="304">
        <f t="shared" si="16"/>
        <v>19.64</v>
      </c>
      <c r="K40" s="305">
        <f t="shared" si="16"/>
        <v>21.46</v>
      </c>
      <c r="L40" s="304">
        <f t="shared" si="16"/>
        <v>20.97</v>
      </c>
      <c r="M40" s="304">
        <f t="shared" si="16"/>
        <v>23.62</v>
      </c>
      <c r="N40" s="305">
        <f t="shared" si="16"/>
        <v>25.75</v>
      </c>
      <c r="O40" s="304">
        <f t="shared" si="16"/>
        <v>27.05</v>
      </c>
      <c r="P40" s="305">
        <f t="shared" si="16"/>
        <v>28.27</v>
      </c>
      <c r="Q40" s="304">
        <f t="shared" si="16"/>
        <v>31.57</v>
      </c>
      <c r="R40" s="305">
        <f t="shared" si="16"/>
        <v>31.57</v>
      </c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</row>
    <row r="43" spans="1:18" s="183" customFormat="1" x14ac:dyDescent="0.35"/>
    <row r="44" spans="1:18" x14ac:dyDescent="0.35"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</row>
    <row r="45" spans="1:18" s="199" customFormat="1" x14ac:dyDescent="0.35">
      <c r="B45" s="200" t="s">
        <v>280</v>
      </c>
    </row>
    <row r="46" spans="1:18" s="199" customFormat="1" x14ac:dyDescent="0.35">
      <c r="B46" s="200" t="s">
        <v>280</v>
      </c>
    </row>
    <row r="47" spans="1:18" s="199" customFormat="1" x14ac:dyDescent="0.35">
      <c r="B47" s="200"/>
    </row>
    <row r="48" spans="1:18" s="199" customFormat="1" x14ac:dyDescent="0.35">
      <c r="B48" s="200" t="s">
        <v>134</v>
      </c>
      <c r="C48" s="201">
        <f>4.97%</f>
        <v>4.9699999999999994E-2</v>
      </c>
    </row>
    <row r="49" spans="1:18" s="199" customFormat="1" x14ac:dyDescent="0.35">
      <c r="B49" s="200" t="s">
        <v>135</v>
      </c>
      <c r="C49" s="201">
        <f>4.4%</f>
        <v>4.4000000000000004E-2</v>
      </c>
    </row>
    <row r="50" spans="1:18" s="199" customFormat="1" x14ac:dyDescent="0.35">
      <c r="B50" s="200" t="s">
        <v>136</v>
      </c>
      <c r="C50" s="202">
        <v>0</v>
      </c>
    </row>
    <row r="51" spans="1:18" s="199" customFormat="1" x14ac:dyDescent="0.35">
      <c r="B51" s="200" t="s">
        <v>2</v>
      </c>
      <c r="C51" s="202">
        <v>0</v>
      </c>
    </row>
    <row r="52" spans="1:18" s="199" customFormat="1" x14ac:dyDescent="0.35">
      <c r="B52" s="200"/>
    </row>
    <row r="53" spans="1:18" s="199" customFormat="1" x14ac:dyDescent="0.35">
      <c r="B53" s="200" t="s">
        <v>64</v>
      </c>
    </row>
    <row r="54" spans="1:18" s="199" customFormat="1" x14ac:dyDescent="0.35">
      <c r="B54" s="200" t="s">
        <v>87</v>
      </c>
    </row>
    <row r="55" spans="1:18" s="199" customFormat="1" x14ac:dyDescent="0.35">
      <c r="B55" s="200"/>
    </row>
    <row r="56" spans="1:18" s="199" customFormat="1" x14ac:dyDescent="0.35">
      <c r="A56" s="199" t="s">
        <v>306</v>
      </c>
      <c r="B56" s="295">
        <v>2702.73</v>
      </c>
      <c r="C56" s="296">
        <v>2738.51</v>
      </c>
      <c r="D56" s="295">
        <v>2880.13</v>
      </c>
      <c r="E56" s="296"/>
      <c r="F56" s="295">
        <v>3104.4</v>
      </c>
      <c r="G56" s="295">
        <v>3200.43</v>
      </c>
      <c r="H56" s="295">
        <v>3297.79</v>
      </c>
      <c r="I56" s="296">
        <v>3428.55</v>
      </c>
      <c r="J56" s="295">
        <v>3487.87</v>
      </c>
      <c r="K56" s="296">
        <v>3814.81</v>
      </c>
      <c r="L56" s="295">
        <v>3726.42</v>
      </c>
      <c r="M56" s="295">
        <v>4201.49</v>
      </c>
      <c r="N56" s="296">
        <v>4582.91</v>
      </c>
      <c r="O56" s="295">
        <v>4816.6499999999996</v>
      </c>
      <c r="P56" s="296">
        <v>5034.6099999999997</v>
      </c>
      <c r="Q56" s="295">
        <v>5626.43</v>
      </c>
      <c r="R56" s="297">
        <v>5626.43</v>
      </c>
    </row>
    <row r="58" spans="1:18" x14ac:dyDescent="0.35">
      <c r="B58" s="294"/>
      <c r="C58" s="294"/>
      <c r="D58" s="294"/>
      <c r="F58" s="294"/>
      <c r="G58" s="294"/>
    </row>
    <row r="59" spans="1:18" x14ac:dyDescent="0.35">
      <c r="B59" s="180"/>
      <c r="C59" s="180"/>
    </row>
    <row r="60" spans="1:18" x14ac:dyDescent="0.35">
      <c r="C60" s="183"/>
      <c r="D60" s="183"/>
      <c r="F60" s="183"/>
      <c r="G60" s="183"/>
    </row>
    <row r="61" spans="1:18" x14ac:dyDescent="0.35">
      <c r="B61" s="180"/>
      <c r="C61" s="180"/>
      <c r="D61" s="180"/>
      <c r="E61" s="183"/>
      <c r="F61" s="180"/>
      <c r="G61" s="180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</row>
    <row r="62" spans="1:18" x14ac:dyDescent="0.35">
      <c r="B62" s="180"/>
      <c r="C62" s="180"/>
    </row>
    <row r="64" spans="1:18" x14ac:dyDescent="0.35">
      <c r="B64" s="306"/>
      <c r="C64" s="306"/>
      <c r="D64" s="306"/>
      <c r="E64" s="306"/>
      <c r="F64" s="306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</row>
    <row r="65" spans="2:18" x14ac:dyDescent="0.35"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</row>
    <row r="66" spans="2:18" x14ac:dyDescent="0.35"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</row>
    <row r="67" spans="2:18" x14ac:dyDescent="0.35"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  <c r="Q67" s="180"/>
      <c r="R67" s="180"/>
    </row>
  </sheetData>
  <conditionalFormatting sqref="B2">
    <cfRule type="expression" dxfId="2" priority="2">
      <formula>B1="Generale"</formula>
    </cfRule>
  </conditionalFormatting>
  <dataValidations count="2">
    <dataValidation type="list" allowBlank="1" showInputMessage="1" showErrorMessage="1" sqref="B1" xr:uid="{00000000-0002-0000-0700-000000000000}">
      <formula1>$B$45:$B$46</formula1>
      <formula2>0</formula2>
    </dataValidation>
    <dataValidation type="list" allowBlank="1" showInputMessage="1" showErrorMessage="1" sqref="B5" xr:uid="{00000000-0002-0000-0700-000001000000}">
      <formula1>$B$53:$B$54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67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44.26953125" customWidth="1"/>
    <col min="2" max="2" width="9.1796875" style="183" customWidth="1"/>
    <col min="4" max="4" width="11.1796875" customWidth="1"/>
    <col min="9" max="9" width="13.26953125" customWidth="1"/>
  </cols>
  <sheetData>
    <row r="1" spans="1:19" x14ac:dyDescent="0.35">
      <c r="A1" t="s">
        <v>279</v>
      </c>
      <c r="B1" s="184" t="s">
        <v>280</v>
      </c>
    </row>
    <row r="2" spans="1:19" x14ac:dyDescent="0.35">
      <c r="A2" t="s">
        <v>148</v>
      </c>
      <c r="B2" s="184" t="str">
        <f>+INPUT!C2</f>
        <v>Puglia</v>
      </c>
    </row>
    <row r="3" spans="1:19" x14ac:dyDescent="0.35">
      <c r="A3" t="s">
        <v>281</v>
      </c>
      <c r="B3" s="185">
        <f>+IF(B1="Generale",0.039,INDEX(C48:C51,MATCH(B2,B48:B51,0)))</f>
        <v>0</v>
      </c>
    </row>
    <row r="4" spans="1:19" x14ac:dyDescent="0.35">
      <c r="B4" s="185"/>
    </row>
    <row r="5" spans="1:19" x14ac:dyDescent="0.35">
      <c r="A5" t="s">
        <v>282</v>
      </c>
      <c r="B5" s="186" t="s">
        <v>87</v>
      </c>
    </row>
    <row r="6" spans="1:19" x14ac:dyDescent="0.35">
      <c r="A6" t="s">
        <v>283</v>
      </c>
      <c r="B6" s="183">
        <v>1548</v>
      </c>
      <c r="C6">
        <v>1548</v>
      </c>
    </row>
    <row r="8" spans="1:19" x14ac:dyDescent="0.35">
      <c r="B8" s="294"/>
    </row>
    <row r="9" spans="1:19" s="136" customFormat="1" x14ac:dyDescent="0.35">
      <c r="A9" s="187" t="s">
        <v>284</v>
      </c>
      <c r="B9" s="188" t="s">
        <v>240</v>
      </c>
      <c r="C9" s="148" t="s">
        <v>245</v>
      </c>
      <c r="D9" s="161" t="s">
        <v>247</v>
      </c>
      <c r="E9" s="148" t="s">
        <v>249</v>
      </c>
      <c r="F9" s="161" t="s">
        <v>250</v>
      </c>
      <c r="G9" s="161" t="s">
        <v>254</v>
      </c>
      <c r="H9" s="161" t="s">
        <v>256</v>
      </c>
      <c r="I9" s="148" t="s">
        <v>259</v>
      </c>
      <c r="J9" s="161" t="s">
        <v>255</v>
      </c>
      <c r="K9" s="148" t="s">
        <v>264</v>
      </c>
      <c r="L9" s="161" t="s">
        <v>260</v>
      </c>
      <c r="M9" s="161" t="s">
        <v>262</v>
      </c>
      <c r="N9" s="148" t="s">
        <v>268</v>
      </c>
      <c r="O9" s="161" t="s">
        <v>265</v>
      </c>
      <c r="P9" s="148" t="s">
        <v>271</v>
      </c>
      <c r="Q9" s="161" t="s">
        <v>266</v>
      </c>
      <c r="R9" s="149" t="s">
        <v>274</v>
      </c>
    </row>
    <row r="10" spans="1:19" x14ac:dyDescent="0.35">
      <c r="A10" s="162" t="s">
        <v>285</v>
      </c>
      <c r="B10" s="295">
        <v>1236.99</v>
      </c>
      <c r="C10" s="296">
        <v>1248.44</v>
      </c>
      <c r="D10" s="295">
        <v>1306.6099999999999</v>
      </c>
      <c r="E10" s="296"/>
      <c r="F10" s="295">
        <v>1405.21</v>
      </c>
      <c r="G10" s="295">
        <v>1447.3</v>
      </c>
      <c r="H10" s="295">
        <v>1490.04</v>
      </c>
      <c r="I10" s="296">
        <v>1490.04</v>
      </c>
      <c r="J10" s="295">
        <v>1571.78</v>
      </c>
      <c r="K10" s="296">
        <v>1571.78</v>
      </c>
      <c r="L10" s="295">
        <v>1673.23</v>
      </c>
      <c r="M10" s="295">
        <v>1806.03</v>
      </c>
      <c r="N10" s="296">
        <v>1806.03</v>
      </c>
      <c r="O10" s="295">
        <v>1994.68</v>
      </c>
      <c r="P10" s="296">
        <v>1994.68</v>
      </c>
      <c r="Q10" s="295">
        <v>2277.9899999999998</v>
      </c>
      <c r="R10" s="297">
        <v>2277.9899999999998</v>
      </c>
      <c r="S10" s="183"/>
    </row>
    <row r="11" spans="1:19" x14ac:dyDescent="0.35">
      <c r="A11" s="162" t="s">
        <v>286</v>
      </c>
      <c r="B11" s="295">
        <v>34.86</v>
      </c>
      <c r="C11" s="298">
        <v>40.29</v>
      </c>
      <c r="D11" s="299">
        <v>48.81</v>
      </c>
      <c r="E11" s="298"/>
      <c r="F11" s="299">
        <v>55.77</v>
      </c>
      <c r="G11" s="299">
        <v>58.89</v>
      </c>
      <c r="H11" s="299">
        <v>61.98</v>
      </c>
      <c r="I11" s="298">
        <v>61.98</v>
      </c>
      <c r="J11" s="299">
        <v>69.72</v>
      </c>
      <c r="K11" s="298">
        <v>69.72</v>
      </c>
      <c r="L11" s="299">
        <v>80.58</v>
      </c>
      <c r="M11" s="299">
        <v>94.5</v>
      </c>
      <c r="N11" s="298">
        <v>94.5</v>
      </c>
      <c r="O11" s="299">
        <v>118.53</v>
      </c>
      <c r="P11" s="298">
        <v>118.53</v>
      </c>
      <c r="Q11" s="299">
        <v>139.44</v>
      </c>
      <c r="R11" s="300">
        <v>139.44</v>
      </c>
      <c r="S11" s="183"/>
    </row>
    <row r="12" spans="1:19" x14ac:dyDescent="0.35">
      <c r="A12" s="162" t="s">
        <v>287</v>
      </c>
      <c r="B12" s="295"/>
      <c r="C12" s="296"/>
      <c r="D12" s="295"/>
      <c r="E12" s="296"/>
      <c r="F12" s="295"/>
      <c r="G12" s="295"/>
      <c r="H12" s="295"/>
      <c r="I12" s="298">
        <v>61.97</v>
      </c>
      <c r="J12" s="295"/>
      <c r="K12" s="298">
        <v>154.94</v>
      </c>
      <c r="L12" s="295"/>
      <c r="M12" s="295"/>
      <c r="N12" s="298">
        <v>258.23</v>
      </c>
      <c r="O12" s="295"/>
      <c r="P12" s="298">
        <v>258.23</v>
      </c>
      <c r="Q12" s="295"/>
      <c r="R12" s="300">
        <v>232.41</v>
      </c>
      <c r="S12" s="183"/>
    </row>
    <row r="13" spans="1:19" x14ac:dyDescent="0.35">
      <c r="A13" s="162" t="s">
        <v>288</v>
      </c>
      <c r="B13" s="295"/>
      <c r="C13" s="296"/>
      <c r="D13" s="295"/>
      <c r="E13" s="298"/>
      <c r="F13" s="295"/>
      <c r="G13" s="295"/>
      <c r="H13" s="295"/>
      <c r="I13" s="296"/>
      <c r="J13" s="295"/>
      <c r="K13" s="296"/>
      <c r="L13" s="295"/>
      <c r="M13" s="299">
        <v>77.47</v>
      </c>
      <c r="N13" s="296"/>
      <c r="O13" s="299">
        <v>154.94</v>
      </c>
      <c r="P13" s="296"/>
      <c r="Q13" s="299">
        <v>232.41</v>
      </c>
      <c r="R13" s="297"/>
      <c r="S13" s="183"/>
    </row>
    <row r="14" spans="1:19" x14ac:dyDescent="0.35">
      <c r="A14" s="162" t="s">
        <v>289</v>
      </c>
      <c r="B14" s="295">
        <v>31.54</v>
      </c>
      <c r="C14" s="298">
        <v>31.84</v>
      </c>
      <c r="D14" s="299">
        <v>33.32</v>
      </c>
      <c r="E14" s="298"/>
      <c r="F14" s="299">
        <v>35.83</v>
      </c>
      <c r="G14" s="299">
        <v>36.909999999999997</v>
      </c>
      <c r="H14" s="299">
        <v>38</v>
      </c>
      <c r="I14" s="298">
        <v>38</v>
      </c>
      <c r="J14" s="299">
        <v>40.08</v>
      </c>
      <c r="K14" s="298">
        <v>40.08</v>
      </c>
      <c r="L14" s="299">
        <v>42.67</v>
      </c>
      <c r="M14" s="299">
        <v>46.05</v>
      </c>
      <c r="N14" s="298">
        <v>46.05</v>
      </c>
      <c r="O14" s="299">
        <v>50.86</v>
      </c>
      <c r="P14" s="298">
        <v>50.86</v>
      </c>
      <c r="Q14" s="299">
        <v>58.09</v>
      </c>
      <c r="R14" s="300">
        <v>58.09</v>
      </c>
      <c r="S14" s="183"/>
    </row>
    <row r="15" spans="1:19" x14ac:dyDescent="0.35">
      <c r="B15" s="194"/>
      <c r="C15" s="183"/>
      <c r="D15" s="194"/>
      <c r="F15" s="194"/>
      <c r="G15" s="194"/>
      <c r="H15" s="194"/>
      <c r="I15" s="183"/>
      <c r="J15" s="194"/>
      <c r="K15" s="183"/>
      <c r="L15" s="194"/>
      <c r="M15" s="194"/>
      <c r="N15" s="183"/>
      <c r="O15" s="194"/>
      <c r="P15" s="183"/>
      <c r="Q15" s="194"/>
      <c r="R15" s="183"/>
    </row>
    <row r="16" spans="1:19" x14ac:dyDescent="0.35">
      <c r="A16" s="162" t="s">
        <v>290</v>
      </c>
      <c r="B16" s="189">
        <f t="shared" ref="B16:R16" si="0">+SUM(B10:B14)</f>
        <v>1303.3899999999999</v>
      </c>
      <c r="C16" s="190">
        <f t="shared" si="0"/>
        <v>1320.57</v>
      </c>
      <c r="D16" s="189">
        <f t="shared" si="0"/>
        <v>1388.7399999999998</v>
      </c>
      <c r="E16" s="190">
        <f t="shared" si="0"/>
        <v>0</v>
      </c>
      <c r="F16" s="189">
        <f t="shared" si="0"/>
        <v>1496.81</v>
      </c>
      <c r="G16" s="189">
        <f t="shared" si="0"/>
        <v>1543.1000000000001</v>
      </c>
      <c r="H16" s="189">
        <f t="shared" si="0"/>
        <v>1590.02</v>
      </c>
      <c r="I16" s="190">
        <f t="shared" si="0"/>
        <v>1651.99</v>
      </c>
      <c r="J16" s="189">
        <f t="shared" si="0"/>
        <v>1681.58</v>
      </c>
      <c r="K16" s="190">
        <f t="shared" si="0"/>
        <v>1836.52</v>
      </c>
      <c r="L16" s="189">
        <f t="shared" si="0"/>
        <v>1796.48</v>
      </c>
      <c r="M16" s="189">
        <f t="shared" si="0"/>
        <v>2024.05</v>
      </c>
      <c r="N16" s="190">
        <f t="shared" si="0"/>
        <v>2204.8100000000004</v>
      </c>
      <c r="O16" s="189">
        <f t="shared" si="0"/>
        <v>2319.0100000000002</v>
      </c>
      <c r="P16" s="190">
        <f t="shared" si="0"/>
        <v>2422.3000000000002</v>
      </c>
      <c r="Q16" s="189">
        <f t="shared" si="0"/>
        <v>2707.93</v>
      </c>
      <c r="R16" s="191">
        <f t="shared" si="0"/>
        <v>2707.93</v>
      </c>
    </row>
    <row r="17" spans="1:18" x14ac:dyDescent="0.35">
      <c r="A17" s="196" t="s">
        <v>291</v>
      </c>
      <c r="B17" s="301">
        <f t="shared" ref="B17:R17" si="1">+B16*13</f>
        <v>16944.07</v>
      </c>
      <c r="C17" s="302">
        <f t="shared" si="1"/>
        <v>17167.41</v>
      </c>
      <c r="D17" s="301">
        <f t="shared" si="1"/>
        <v>18053.619999999995</v>
      </c>
      <c r="E17" s="302">
        <f t="shared" si="1"/>
        <v>0</v>
      </c>
      <c r="F17" s="301">
        <f t="shared" si="1"/>
        <v>19458.53</v>
      </c>
      <c r="G17" s="301">
        <f t="shared" si="1"/>
        <v>20060.300000000003</v>
      </c>
      <c r="H17" s="301">
        <f t="shared" si="1"/>
        <v>20670.259999999998</v>
      </c>
      <c r="I17" s="302">
        <f t="shared" si="1"/>
        <v>21475.87</v>
      </c>
      <c r="J17" s="301">
        <f t="shared" si="1"/>
        <v>21860.54</v>
      </c>
      <c r="K17" s="302">
        <f t="shared" si="1"/>
        <v>23874.76</v>
      </c>
      <c r="L17" s="301">
        <f t="shared" si="1"/>
        <v>23354.240000000002</v>
      </c>
      <c r="M17" s="301">
        <f t="shared" si="1"/>
        <v>26312.649999999998</v>
      </c>
      <c r="N17" s="302">
        <f t="shared" si="1"/>
        <v>28662.530000000006</v>
      </c>
      <c r="O17" s="301">
        <f t="shared" si="1"/>
        <v>30147.130000000005</v>
      </c>
      <c r="P17" s="302">
        <f t="shared" si="1"/>
        <v>31489.9</v>
      </c>
      <c r="Q17" s="301">
        <f t="shared" si="1"/>
        <v>35203.089999999997</v>
      </c>
      <c r="R17" s="303">
        <f t="shared" si="1"/>
        <v>35203.089999999997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2" t="s">
        <v>292</v>
      </c>
      <c r="B19" s="189"/>
      <c r="C19" s="192"/>
      <c r="D19" s="163"/>
      <c r="E19" s="192"/>
      <c r="F19" s="163"/>
      <c r="G19" s="163"/>
      <c r="H19" s="163"/>
      <c r="I19" s="192"/>
      <c r="J19" s="163"/>
      <c r="K19" s="192"/>
      <c r="L19" s="163"/>
      <c r="M19" s="163"/>
      <c r="N19" s="192"/>
      <c r="O19" s="163"/>
      <c r="P19" s="192"/>
      <c r="Q19" s="163"/>
      <c r="R19" s="193"/>
    </row>
    <row r="20" spans="1:18" x14ac:dyDescent="0.35">
      <c r="A20" s="162" t="s">
        <v>357</v>
      </c>
      <c r="B20" s="189">
        <f>+B17*0.2733</f>
        <v>4630.8143309999996</v>
      </c>
      <c r="C20" s="190">
        <f>+C17*0.2733</f>
        <v>4691.853153</v>
      </c>
      <c r="D20" s="189">
        <f>+D17*0.2733</f>
        <v>4934.0543459999981</v>
      </c>
      <c r="E20" s="190"/>
      <c r="F20" s="189">
        <f t="shared" ref="F20:R20" si="2">+F17*0.2733</f>
        <v>5318.0162489999993</v>
      </c>
      <c r="G20" s="189">
        <f t="shared" si="2"/>
        <v>5482.4799900000007</v>
      </c>
      <c r="H20" s="189">
        <f t="shared" si="2"/>
        <v>5649.1820579999994</v>
      </c>
      <c r="I20" s="190">
        <f t="shared" si="2"/>
        <v>5869.3552709999994</v>
      </c>
      <c r="J20" s="189">
        <f t="shared" si="2"/>
        <v>5974.4855820000002</v>
      </c>
      <c r="K20" s="190">
        <f t="shared" si="2"/>
        <v>6524.9719079999995</v>
      </c>
      <c r="L20" s="189">
        <f t="shared" si="2"/>
        <v>6382.7137920000005</v>
      </c>
      <c r="M20" s="189">
        <f t="shared" si="2"/>
        <v>7191.2472449999987</v>
      </c>
      <c r="N20" s="190">
        <f t="shared" si="2"/>
        <v>7833.4694490000011</v>
      </c>
      <c r="O20" s="189">
        <f t="shared" si="2"/>
        <v>8239.2106290000011</v>
      </c>
      <c r="P20" s="190">
        <f t="shared" si="2"/>
        <v>8606.1896699999998</v>
      </c>
      <c r="Q20" s="189">
        <f t="shared" si="2"/>
        <v>9621.0044969999981</v>
      </c>
      <c r="R20" s="191">
        <f t="shared" si="2"/>
        <v>9621.0044969999981</v>
      </c>
    </row>
    <row r="21" spans="1:18" x14ac:dyDescent="0.35">
      <c r="A21" s="162" t="s">
        <v>294</v>
      </c>
      <c r="B21" s="189">
        <f>+B17*0.03</f>
        <v>508.32209999999998</v>
      </c>
      <c r="C21" s="190">
        <f>+C17*0.03</f>
        <v>515.02229999999997</v>
      </c>
      <c r="D21" s="189">
        <f>+D17*0.03</f>
        <v>541.6085999999998</v>
      </c>
      <c r="E21" s="190"/>
      <c r="F21" s="189">
        <f t="shared" ref="F21:R21" si="3">+F17*0.03</f>
        <v>583.7559</v>
      </c>
      <c r="G21" s="189">
        <f t="shared" si="3"/>
        <v>601.80900000000008</v>
      </c>
      <c r="H21" s="189">
        <f t="shared" si="3"/>
        <v>620.10779999999988</v>
      </c>
      <c r="I21" s="190">
        <f t="shared" si="3"/>
        <v>644.27609999999993</v>
      </c>
      <c r="J21" s="189">
        <f t="shared" si="3"/>
        <v>655.81619999999998</v>
      </c>
      <c r="K21" s="190">
        <f t="shared" si="3"/>
        <v>716.24279999999987</v>
      </c>
      <c r="L21" s="189">
        <f t="shared" si="3"/>
        <v>700.62720000000002</v>
      </c>
      <c r="M21" s="189">
        <f t="shared" si="3"/>
        <v>789.37949999999989</v>
      </c>
      <c r="N21" s="190">
        <f t="shared" si="3"/>
        <v>859.87590000000012</v>
      </c>
      <c r="O21" s="189">
        <f t="shared" si="3"/>
        <v>904.41390000000013</v>
      </c>
      <c r="P21" s="190">
        <f t="shared" si="3"/>
        <v>944.697</v>
      </c>
      <c r="Q21" s="189">
        <f t="shared" si="3"/>
        <v>1056.0926999999999</v>
      </c>
      <c r="R21" s="191">
        <f t="shared" si="3"/>
        <v>1056.0926999999999</v>
      </c>
    </row>
    <row r="22" spans="1:18" x14ac:dyDescent="0.35">
      <c r="A22" s="162" t="s">
        <v>295</v>
      </c>
      <c r="B22" s="189">
        <f>+B21+B20</f>
        <v>5139.1364309999999</v>
      </c>
      <c r="C22" s="190">
        <f>+C21+C20</f>
        <v>5206.8754529999997</v>
      </c>
      <c r="D22" s="189">
        <f>+D21+D20</f>
        <v>5475.6629459999976</v>
      </c>
      <c r="E22" s="190"/>
      <c r="F22" s="189">
        <f t="shared" ref="F22:R22" si="4">+F21+F20</f>
        <v>5901.7721489999994</v>
      </c>
      <c r="G22" s="189">
        <f t="shared" si="4"/>
        <v>6084.2889900000009</v>
      </c>
      <c r="H22" s="189">
        <f t="shared" si="4"/>
        <v>6269.2898579999992</v>
      </c>
      <c r="I22" s="190">
        <f t="shared" si="4"/>
        <v>6513.6313709999995</v>
      </c>
      <c r="J22" s="189">
        <f t="shared" si="4"/>
        <v>6630.3017820000005</v>
      </c>
      <c r="K22" s="190">
        <f t="shared" si="4"/>
        <v>7241.2147079999995</v>
      </c>
      <c r="L22" s="189">
        <f t="shared" si="4"/>
        <v>7083.3409920000004</v>
      </c>
      <c r="M22" s="189">
        <f t="shared" si="4"/>
        <v>7980.6267449999987</v>
      </c>
      <c r="N22" s="190">
        <f t="shared" si="4"/>
        <v>8693.3453490000011</v>
      </c>
      <c r="O22" s="189">
        <f t="shared" si="4"/>
        <v>9143.6245290000006</v>
      </c>
      <c r="P22" s="190">
        <f t="shared" si="4"/>
        <v>9550.8866699999999</v>
      </c>
      <c r="Q22" s="189">
        <f t="shared" si="4"/>
        <v>10677.097196999997</v>
      </c>
      <c r="R22" s="191">
        <f t="shared" si="4"/>
        <v>10677.097196999997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t="s">
        <v>358</v>
      </c>
      <c r="B24" s="194">
        <v>200</v>
      </c>
      <c r="C24">
        <v>200</v>
      </c>
      <c r="D24" s="195">
        <v>200</v>
      </c>
      <c r="F24" s="195">
        <v>200</v>
      </c>
      <c r="G24" s="195">
        <v>200</v>
      </c>
      <c r="H24" s="195">
        <v>200</v>
      </c>
      <c r="I24">
        <v>200</v>
      </c>
      <c r="J24" s="195">
        <v>200</v>
      </c>
      <c r="K24">
        <v>200</v>
      </c>
      <c r="L24" s="195">
        <v>200</v>
      </c>
      <c r="M24" s="195">
        <v>200</v>
      </c>
      <c r="N24">
        <v>200</v>
      </c>
      <c r="O24" s="195">
        <v>200</v>
      </c>
      <c r="P24">
        <v>200</v>
      </c>
      <c r="Q24" s="195">
        <v>200</v>
      </c>
      <c r="R24">
        <v>200</v>
      </c>
    </row>
    <row r="25" spans="1:18" x14ac:dyDescent="0.35">
      <c r="A25" s="162" t="s">
        <v>296</v>
      </c>
      <c r="B25" s="189">
        <f>+B16*0.962962</f>
        <v>1255.1150411799999</v>
      </c>
      <c r="C25" s="190">
        <f>+C16*0.962962</f>
        <v>1271.6587283399999</v>
      </c>
      <c r="D25" s="189">
        <f>+D16*0.962962</f>
        <v>1337.3038478799997</v>
      </c>
      <c r="E25" s="190"/>
      <c r="F25" s="189">
        <f t="shared" ref="F25:R25" si="5">+F16*0.962962</f>
        <v>1441.37115122</v>
      </c>
      <c r="G25" s="189">
        <f t="shared" si="5"/>
        <v>1485.9466622000002</v>
      </c>
      <c r="H25" s="189">
        <f t="shared" si="5"/>
        <v>1531.1288392399999</v>
      </c>
      <c r="I25" s="190">
        <f t="shared" si="5"/>
        <v>1590.80359438</v>
      </c>
      <c r="J25" s="189">
        <f t="shared" si="5"/>
        <v>1619.29763996</v>
      </c>
      <c r="K25" s="190">
        <f t="shared" si="5"/>
        <v>1768.4989722400001</v>
      </c>
      <c r="L25" s="189">
        <f t="shared" si="5"/>
        <v>1729.9419737599999</v>
      </c>
      <c r="M25" s="189">
        <f t="shared" si="5"/>
        <v>1949.0832361</v>
      </c>
      <c r="N25" s="190">
        <f t="shared" si="5"/>
        <v>2123.1482472200005</v>
      </c>
      <c r="O25" s="189">
        <f t="shared" si="5"/>
        <v>2233.1185076200004</v>
      </c>
      <c r="P25" s="190">
        <f t="shared" si="5"/>
        <v>2332.5828526</v>
      </c>
      <c r="Q25" s="189">
        <f t="shared" si="5"/>
        <v>2607.6336886599997</v>
      </c>
      <c r="R25" s="191">
        <f t="shared" si="5"/>
        <v>2607.6336886599997</v>
      </c>
    </row>
    <row r="26" spans="1:18" x14ac:dyDescent="0.35">
      <c r="A26" s="162" t="s">
        <v>362</v>
      </c>
      <c r="B26" s="189">
        <f t="shared" ref="B26:R26" si="6">+B25*0.018673*6</f>
        <v>140.62057898372481</v>
      </c>
      <c r="C26" s="190">
        <f t="shared" si="6"/>
        <v>142.47410060575692</v>
      </c>
      <c r="D26" s="189">
        <f t="shared" si="6"/>
        <v>149.8288485087794</v>
      </c>
      <c r="E26" s="190">
        <f t="shared" si="6"/>
        <v>0</v>
      </c>
      <c r="F26" s="189">
        <f t="shared" si="6"/>
        <v>161.48834104038633</v>
      </c>
      <c r="G26" s="189">
        <f t="shared" si="6"/>
        <v>166.48249213956362</v>
      </c>
      <c r="H26" s="189">
        <f t="shared" si="6"/>
        <v>171.54461289077111</v>
      </c>
      <c r="I26" s="190">
        <f t="shared" si="6"/>
        <v>178.23045310714645</v>
      </c>
      <c r="J26" s="189">
        <f t="shared" si="6"/>
        <v>181.42286898583845</v>
      </c>
      <c r="K26" s="190">
        <f t="shared" si="6"/>
        <v>198.13908785182511</v>
      </c>
      <c r="L26" s="189">
        <f t="shared" si="6"/>
        <v>193.81923885612287</v>
      </c>
      <c r="M26" s="189">
        <f t="shared" si="6"/>
        <v>218.37138760617177</v>
      </c>
      <c r="N26" s="190">
        <f t="shared" si="6"/>
        <v>237.87328332203441</v>
      </c>
      <c r="O26" s="189">
        <f t="shared" si="6"/>
        <v>250.1941313567296</v>
      </c>
      <c r="P26" s="190">
        <f t="shared" si="6"/>
        <v>261.3379176395988</v>
      </c>
      <c r="Q26" s="189">
        <f t="shared" si="6"/>
        <v>292.15406321008902</v>
      </c>
      <c r="R26" s="191">
        <f t="shared" si="6"/>
        <v>292.15406321008902</v>
      </c>
    </row>
    <row r="27" spans="1:18" x14ac:dyDescent="0.35">
      <c r="A27" s="162" t="s">
        <v>360</v>
      </c>
      <c r="B27" s="189">
        <f>+B17*0.015</f>
        <v>254.16104999999999</v>
      </c>
      <c r="C27" s="190">
        <f>+C17*0.015</f>
        <v>257.51114999999999</v>
      </c>
      <c r="D27" s="189">
        <f>+D17*0.015</f>
        <v>270.8042999999999</v>
      </c>
      <c r="E27" s="190"/>
      <c r="F27" s="189">
        <f t="shared" ref="F27:R27" si="7">+F17*0.015</f>
        <v>291.87795</v>
      </c>
      <c r="G27" s="189">
        <f t="shared" si="7"/>
        <v>300.90450000000004</v>
      </c>
      <c r="H27" s="189">
        <f t="shared" si="7"/>
        <v>310.05389999999994</v>
      </c>
      <c r="I27" s="190">
        <f t="shared" si="7"/>
        <v>322.13804999999996</v>
      </c>
      <c r="J27" s="189">
        <f t="shared" si="7"/>
        <v>327.90809999999999</v>
      </c>
      <c r="K27" s="190">
        <f t="shared" si="7"/>
        <v>358.12139999999994</v>
      </c>
      <c r="L27" s="189">
        <f t="shared" si="7"/>
        <v>350.31360000000001</v>
      </c>
      <c r="M27" s="189">
        <f t="shared" si="7"/>
        <v>394.68974999999995</v>
      </c>
      <c r="N27" s="190">
        <f t="shared" si="7"/>
        <v>429.93795000000006</v>
      </c>
      <c r="O27" s="189">
        <f t="shared" si="7"/>
        <v>452.20695000000006</v>
      </c>
      <c r="P27" s="190">
        <f t="shared" si="7"/>
        <v>472.3485</v>
      </c>
      <c r="Q27" s="189">
        <f t="shared" si="7"/>
        <v>528.04634999999996</v>
      </c>
      <c r="R27" s="191">
        <f t="shared" si="7"/>
        <v>528.04634999999996</v>
      </c>
    </row>
    <row r="28" spans="1:18" x14ac:dyDescent="0.35">
      <c r="A28" s="162" t="s">
        <v>299</v>
      </c>
      <c r="B28" s="163">
        <v>66</v>
      </c>
      <c r="C28" s="192">
        <v>66</v>
      </c>
      <c r="D28" s="163">
        <v>66</v>
      </c>
      <c r="E28" s="192"/>
      <c r="F28" s="163">
        <v>66</v>
      </c>
      <c r="G28" s="163">
        <v>66</v>
      </c>
      <c r="H28" s="163">
        <v>66</v>
      </c>
      <c r="I28" s="192">
        <v>66</v>
      </c>
      <c r="J28" s="163">
        <v>66</v>
      </c>
      <c r="K28" s="192">
        <v>66</v>
      </c>
      <c r="L28" s="163">
        <v>66</v>
      </c>
      <c r="M28" s="163">
        <v>66</v>
      </c>
      <c r="N28" s="192">
        <v>66</v>
      </c>
      <c r="O28" s="163">
        <v>66</v>
      </c>
      <c r="P28" s="192">
        <v>66</v>
      </c>
      <c r="Q28" s="163">
        <v>66</v>
      </c>
      <c r="R28" s="193">
        <v>66</v>
      </c>
    </row>
    <row r="29" spans="1:18" x14ac:dyDescent="0.35">
      <c r="B29" s="194"/>
      <c r="D29" s="195"/>
      <c r="F29" s="195"/>
      <c r="G29" s="195"/>
      <c r="H29" s="195"/>
      <c r="J29" s="195"/>
      <c r="L29" s="195"/>
      <c r="M29" s="195"/>
      <c r="O29" s="195"/>
      <c r="Q29" s="195"/>
    </row>
    <row r="30" spans="1:18" x14ac:dyDescent="0.35">
      <c r="A30" s="162" t="s">
        <v>300</v>
      </c>
      <c r="B30" s="189">
        <f>+B17+B22+B25+B26+B27+B28+B24</f>
        <v>23999.103101163724</v>
      </c>
      <c r="C30" s="190">
        <f>+C17+C22+C25+C26+C27+C28+C24</f>
        <v>24311.929431945755</v>
      </c>
      <c r="D30" s="189">
        <f>+D17+D22+D25+D26+D27+D28+D24</f>
        <v>25553.219942388772</v>
      </c>
      <c r="E30" s="190"/>
      <c r="F30" s="189">
        <f t="shared" ref="F30:R30" si="8">+F17+F22+F25+F26+F27+F28+F24</f>
        <v>27521.039591260382</v>
      </c>
      <c r="G30" s="189">
        <f t="shared" si="8"/>
        <v>28363.922644339567</v>
      </c>
      <c r="H30" s="189">
        <f t="shared" si="8"/>
        <v>29218.277210130767</v>
      </c>
      <c r="I30" s="190">
        <f t="shared" si="8"/>
        <v>30346.673468487144</v>
      </c>
      <c r="J30" s="189">
        <f t="shared" si="8"/>
        <v>30885.470390945844</v>
      </c>
      <c r="K30" s="190">
        <f t="shared" si="8"/>
        <v>33706.734168091825</v>
      </c>
      <c r="L30" s="189">
        <f t="shared" si="8"/>
        <v>32977.655804616123</v>
      </c>
      <c r="M30" s="189">
        <f t="shared" si="8"/>
        <v>37121.421118706166</v>
      </c>
      <c r="N30" s="190">
        <f t="shared" si="8"/>
        <v>40412.834829542044</v>
      </c>
      <c r="O30" s="189">
        <f t="shared" si="8"/>
        <v>42492.274117976733</v>
      </c>
      <c r="P30" s="190">
        <f t="shared" si="8"/>
        <v>44373.055940239596</v>
      </c>
      <c r="Q30" s="189">
        <f t="shared" si="8"/>
        <v>49574.021298870073</v>
      </c>
      <c r="R30" s="191">
        <f t="shared" si="8"/>
        <v>49574.021298870073</v>
      </c>
    </row>
    <row r="31" spans="1:18" x14ac:dyDescent="0.35">
      <c r="A31" s="162" t="s">
        <v>282</v>
      </c>
      <c r="B31" s="189">
        <f>+IF($B$5="Si",B56,0)</f>
        <v>0</v>
      </c>
      <c r="C31" s="190">
        <f>+IF($B$5="Si",C56,0)</f>
        <v>0</v>
      </c>
      <c r="D31" s="189">
        <f>+IF($B$5="Si",D56,0)</f>
        <v>0</v>
      </c>
      <c r="E31" s="190"/>
      <c r="F31" s="189">
        <f t="shared" ref="F31:R31" si="9">+IF($B$5="Si",F56,0)</f>
        <v>0</v>
      </c>
      <c r="G31" s="189">
        <f t="shared" si="9"/>
        <v>0</v>
      </c>
      <c r="H31" s="189">
        <f t="shared" si="9"/>
        <v>0</v>
      </c>
      <c r="I31" s="190">
        <f t="shared" si="9"/>
        <v>0</v>
      </c>
      <c r="J31" s="189">
        <f t="shared" si="9"/>
        <v>0</v>
      </c>
      <c r="K31" s="190">
        <f t="shared" si="9"/>
        <v>0</v>
      </c>
      <c r="L31" s="189">
        <f t="shared" si="9"/>
        <v>0</v>
      </c>
      <c r="M31" s="189">
        <f t="shared" si="9"/>
        <v>0</v>
      </c>
      <c r="N31" s="190">
        <f t="shared" si="9"/>
        <v>0</v>
      </c>
      <c r="O31" s="189">
        <f t="shared" si="9"/>
        <v>0</v>
      </c>
      <c r="P31" s="190">
        <f t="shared" si="9"/>
        <v>0</v>
      </c>
      <c r="Q31" s="189">
        <f t="shared" si="9"/>
        <v>0</v>
      </c>
      <c r="R31" s="191">
        <f t="shared" si="9"/>
        <v>0</v>
      </c>
    </row>
    <row r="32" spans="1:18" x14ac:dyDescent="0.35">
      <c r="B32" s="194"/>
      <c r="C32" s="183"/>
      <c r="D32" s="194"/>
      <c r="E32" s="183"/>
      <c r="F32" s="194"/>
      <c r="G32" s="194"/>
      <c r="H32" s="194"/>
      <c r="I32" s="183"/>
      <c r="J32" s="194"/>
      <c r="K32" s="183"/>
      <c r="L32" s="194"/>
      <c r="M32" s="194"/>
      <c r="N32" s="183"/>
      <c r="O32" s="194"/>
      <c r="P32" s="183"/>
      <c r="Q32" s="194"/>
      <c r="R32" s="183"/>
    </row>
    <row r="33" spans="1:18" x14ac:dyDescent="0.35">
      <c r="A33" s="196" t="s">
        <v>301</v>
      </c>
      <c r="B33" s="301">
        <f>+B31+B30</f>
        <v>23999.103101163724</v>
      </c>
      <c r="C33" s="302">
        <f>+C31+C30</f>
        <v>24311.929431945755</v>
      </c>
      <c r="D33" s="301">
        <f>+D31+D30</f>
        <v>25553.219942388772</v>
      </c>
      <c r="E33" s="302"/>
      <c r="F33" s="301">
        <f t="shared" ref="F33:R33" si="10">+F31+F30</f>
        <v>27521.039591260382</v>
      </c>
      <c r="G33" s="301">
        <f t="shared" si="10"/>
        <v>28363.922644339567</v>
      </c>
      <c r="H33" s="301">
        <f t="shared" si="10"/>
        <v>29218.277210130767</v>
      </c>
      <c r="I33" s="302">
        <f t="shared" si="10"/>
        <v>30346.673468487144</v>
      </c>
      <c r="J33" s="301">
        <f t="shared" si="10"/>
        <v>30885.470390945844</v>
      </c>
      <c r="K33" s="302">
        <f t="shared" si="10"/>
        <v>33706.734168091825</v>
      </c>
      <c r="L33" s="301">
        <f t="shared" si="10"/>
        <v>32977.655804616123</v>
      </c>
      <c r="M33" s="301">
        <f t="shared" si="10"/>
        <v>37121.421118706166</v>
      </c>
      <c r="N33" s="302">
        <f t="shared" si="10"/>
        <v>40412.834829542044</v>
      </c>
      <c r="O33" s="301">
        <f t="shared" si="10"/>
        <v>42492.274117976733</v>
      </c>
      <c r="P33" s="302">
        <f t="shared" si="10"/>
        <v>44373.055940239596</v>
      </c>
      <c r="Q33" s="301">
        <f t="shared" si="10"/>
        <v>49574.021298870073</v>
      </c>
      <c r="R33" s="303">
        <f t="shared" si="10"/>
        <v>49574.021298870073</v>
      </c>
    </row>
    <row r="34" spans="1:18" x14ac:dyDescent="0.35">
      <c r="B34" s="194"/>
      <c r="C34" s="183"/>
      <c r="D34" s="194"/>
      <c r="E34" s="183"/>
      <c r="F34" s="194"/>
      <c r="G34" s="194"/>
      <c r="H34" s="194"/>
      <c r="I34" s="183"/>
      <c r="J34" s="194"/>
      <c r="K34" s="183"/>
      <c r="L34" s="194"/>
      <c r="M34" s="194"/>
      <c r="N34" s="183"/>
      <c r="O34" s="194"/>
      <c r="P34" s="183"/>
      <c r="Q34" s="194"/>
      <c r="R34" s="183"/>
    </row>
    <row r="35" spans="1:18" x14ac:dyDescent="0.35">
      <c r="A35" s="162" t="s">
        <v>117</v>
      </c>
      <c r="B35" s="189">
        <f>+ROUND(B33/$B$6,2)</f>
        <v>15.5</v>
      </c>
      <c r="C35" s="190">
        <f>+ROUND(C33/$B$6,2)</f>
        <v>15.71</v>
      </c>
      <c r="D35" s="189">
        <f>+ROUND(D33/$B$6,2)</f>
        <v>16.510000000000002</v>
      </c>
      <c r="E35" s="190"/>
      <c r="F35" s="189">
        <f t="shared" ref="F35:R35" si="11">+ROUND(F33/$B$6,2)</f>
        <v>17.78</v>
      </c>
      <c r="G35" s="189">
        <f t="shared" si="11"/>
        <v>18.32</v>
      </c>
      <c r="H35" s="189">
        <f t="shared" si="11"/>
        <v>18.87</v>
      </c>
      <c r="I35" s="190">
        <f t="shared" si="11"/>
        <v>19.600000000000001</v>
      </c>
      <c r="J35" s="189">
        <f t="shared" si="11"/>
        <v>19.95</v>
      </c>
      <c r="K35" s="190">
        <f t="shared" si="11"/>
        <v>21.77</v>
      </c>
      <c r="L35" s="189">
        <f t="shared" si="11"/>
        <v>21.3</v>
      </c>
      <c r="M35" s="189">
        <f t="shared" si="11"/>
        <v>23.98</v>
      </c>
      <c r="N35" s="190">
        <f t="shared" si="11"/>
        <v>26.11</v>
      </c>
      <c r="O35" s="189">
        <f t="shared" si="11"/>
        <v>27.45</v>
      </c>
      <c r="P35" s="190">
        <f t="shared" si="11"/>
        <v>28.66</v>
      </c>
      <c r="Q35" s="189">
        <f t="shared" si="11"/>
        <v>32.020000000000003</v>
      </c>
      <c r="R35" s="191">
        <f t="shared" si="11"/>
        <v>32.020000000000003</v>
      </c>
    </row>
    <row r="36" spans="1:18" x14ac:dyDescent="0.35">
      <c r="A36" s="162" t="s">
        <v>302</v>
      </c>
      <c r="B36" s="189">
        <f t="shared" ref="B36:R36" si="12">+B33-B21-B27-B24</f>
        <v>23036.619951163724</v>
      </c>
      <c r="C36" s="190">
        <f t="shared" si="12"/>
        <v>23339.395981945756</v>
      </c>
      <c r="D36" s="189">
        <f t="shared" si="12"/>
        <v>24540.807042388773</v>
      </c>
      <c r="E36" s="190">
        <f t="shared" si="12"/>
        <v>0</v>
      </c>
      <c r="F36" s="189">
        <f t="shared" si="12"/>
        <v>26445.405741260383</v>
      </c>
      <c r="G36" s="189">
        <f t="shared" si="12"/>
        <v>27261.209144339566</v>
      </c>
      <c r="H36" s="189">
        <f t="shared" si="12"/>
        <v>28088.115510130767</v>
      </c>
      <c r="I36" s="190">
        <f t="shared" si="12"/>
        <v>29180.259318487144</v>
      </c>
      <c r="J36" s="189">
        <f t="shared" si="12"/>
        <v>29701.746090945842</v>
      </c>
      <c r="K36" s="190">
        <f t="shared" si="12"/>
        <v>32432.369968091825</v>
      </c>
      <c r="L36" s="189">
        <f t="shared" si="12"/>
        <v>31726.715004616122</v>
      </c>
      <c r="M36" s="189">
        <f t="shared" si="12"/>
        <v>35737.351868706166</v>
      </c>
      <c r="N36" s="190">
        <f t="shared" si="12"/>
        <v>38923.020979542045</v>
      </c>
      <c r="O36" s="189">
        <f t="shared" si="12"/>
        <v>40935.653267976733</v>
      </c>
      <c r="P36" s="190">
        <f t="shared" si="12"/>
        <v>42756.010440239595</v>
      </c>
      <c r="Q36" s="189">
        <f t="shared" si="12"/>
        <v>47789.882248870075</v>
      </c>
      <c r="R36" s="191">
        <f t="shared" si="12"/>
        <v>47789.882248870075</v>
      </c>
    </row>
    <row r="37" spans="1:18" x14ac:dyDescent="0.35">
      <c r="A37" s="162" t="s">
        <v>303</v>
      </c>
      <c r="B37" s="189">
        <f>+ROUND(B36/$B$6,2)</f>
        <v>14.88</v>
      </c>
      <c r="C37" s="190">
        <f>+ROUND(C36/$B$6,2)</f>
        <v>15.08</v>
      </c>
      <c r="D37" s="189">
        <f>+ROUND(D36/$B$6,2)</f>
        <v>15.85</v>
      </c>
      <c r="E37" s="190"/>
      <c r="F37" s="189">
        <f t="shared" ref="F37:R37" si="13">+ROUND(F36/$B$6,2)</f>
        <v>17.079999999999998</v>
      </c>
      <c r="G37" s="189">
        <f t="shared" si="13"/>
        <v>17.61</v>
      </c>
      <c r="H37" s="189">
        <f t="shared" si="13"/>
        <v>18.14</v>
      </c>
      <c r="I37" s="190">
        <f t="shared" si="13"/>
        <v>18.850000000000001</v>
      </c>
      <c r="J37" s="189">
        <f t="shared" si="13"/>
        <v>19.190000000000001</v>
      </c>
      <c r="K37" s="190">
        <f t="shared" si="13"/>
        <v>20.95</v>
      </c>
      <c r="L37" s="189">
        <f t="shared" si="13"/>
        <v>20.5</v>
      </c>
      <c r="M37" s="189">
        <f t="shared" si="13"/>
        <v>23.09</v>
      </c>
      <c r="N37" s="190">
        <f t="shared" si="13"/>
        <v>25.14</v>
      </c>
      <c r="O37" s="189">
        <f t="shared" si="13"/>
        <v>26.44</v>
      </c>
      <c r="P37" s="190">
        <f t="shared" si="13"/>
        <v>27.62</v>
      </c>
      <c r="Q37" s="189">
        <f t="shared" si="13"/>
        <v>30.87</v>
      </c>
      <c r="R37" s="191">
        <f t="shared" si="13"/>
        <v>30.87</v>
      </c>
    </row>
    <row r="38" spans="1:18" x14ac:dyDescent="0.35">
      <c r="A38" s="162" t="s">
        <v>361</v>
      </c>
      <c r="B38" s="189">
        <f>+B37*0.039</f>
        <v>0.58032000000000006</v>
      </c>
      <c r="C38" s="190">
        <f>+C37*0.039</f>
        <v>0.58811999999999998</v>
      </c>
      <c r="D38" s="189">
        <f>+D37*0.039</f>
        <v>0.61814999999999998</v>
      </c>
      <c r="E38" s="190"/>
      <c r="F38" s="189">
        <f t="shared" ref="F38:R38" si="14">+F37*0.039</f>
        <v>0.66611999999999993</v>
      </c>
      <c r="G38" s="189">
        <f t="shared" si="14"/>
        <v>0.68679000000000001</v>
      </c>
      <c r="H38" s="189">
        <f t="shared" si="14"/>
        <v>0.70745999999999998</v>
      </c>
      <c r="I38" s="190">
        <f t="shared" si="14"/>
        <v>0.73515000000000008</v>
      </c>
      <c r="J38" s="189">
        <f t="shared" si="14"/>
        <v>0.74841000000000002</v>
      </c>
      <c r="K38" s="190">
        <f t="shared" si="14"/>
        <v>0.81704999999999994</v>
      </c>
      <c r="L38" s="189">
        <f t="shared" si="14"/>
        <v>0.79949999999999999</v>
      </c>
      <c r="M38" s="189">
        <f t="shared" si="14"/>
        <v>0.90051000000000003</v>
      </c>
      <c r="N38" s="190">
        <f t="shared" si="14"/>
        <v>0.98046</v>
      </c>
      <c r="O38" s="189">
        <f t="shared" si="14"/>
        <v>1.0311600000000001</v>
      </c>
      <c r="P38" s="190">
        <f t="shared" si="14"/>
        <v>1.07718</v>
      </c>
      <c r="Q38" s="189">
        <f t="shared" si="14"/>
        <v>1.2039299999999999</v>
      </c>
      <c r="R38" s="191">
        <f t="shared" si="14"/>
        <v>1.2039299999999999</v>
      </c>
    </row>
    <row r="39" spans="1:18" x14ac:dyDescent="0.35">
      <c r="A39" s="162" t="s">
        <v>304</v>
      </c>
      <c r="B39" s="189">
        <f>+ROUND(B37*$B$3,2)</f>
        <v>0</v>
      </c>
      <c r="C39" s="190">
        <f>+ROUND(C37*$B$3,2)</f>
        <v>0</v>
      </c>
      <c r="D39" s="189">
        <f>+ROUND(D37*$B$3,2)</f>
        <v>0</v>
      </c>
      <c r="E39" s="190"/>
      <c r="F39" s="189">
        <f t="shared" ref="F39:R39" si="15">+ROUND(F37*$B$3,2)</f>
        <v>0</v>
      </c>
      <c r="G39" s="189">
        <f t="shared" si="15"/>
        <v>0</v>
      </c>
      <c r="H39" s="189">
        <f t="shared" si="15"/>
        <v>0</v>
      </c>
      <c r="I39" s="190">
        <f t="shared" si="15"/>
        <v>0</v>
      </c>
      <c r="J39" s="189">
        <f t="shared" si="15"/>
        <v>0</v>
      </c>
      <c r="K39" s="190">
        <f t="shared" si="15"/>
        <v>0</v>
      </c>
      <c r="L39" s="189">
        <f t="shared" si="15"/>
        <v>0</v>
      </c>
      <c r="M39" s="189">
        <f t="shared" si="15"/>
        <v>0</v>
      </c>
      <c r="N39" s="190">
        <f t="shared" si="15"/>
        <v>0</v>
      </c>
      <c r="O39" s="189">
        <f t="shared" si="15"/>
        <v>0</v>
      </c>
      <c r="P39" s="190">
        <f t="shared" si="15"/>
        <v>0</v>
      </c>
      <c r="Q39" s="189">
        <f t="shared" si="15"/>
        <v>0</v>
      </c>
      <c r="R39" s="191">
        <f t="shared" si="15"/>
        <v>0</v>
      </c>
    </row>
    <row r="40" spans="1:18" x14ac:dyDescent="0.35">
      <c r="A40" s="196" t="s">
        <v>305</v>
      </c>
      <c r="B40" s="304">
        <f>+B39+B35</f>
        <v>15.5</v>
      </c>
      <c r="C40" s="305">
        <f>+C39+C35</f>
        <v>15.71</v>
      </c>
      <c r="D40" s="304">
        <f>+D39+D35</f>
        <v>16.510000000000002</v>
      </c>
      <c r="E40" s="305"/>
      <c r="F40" s="304">
        <f t="shared" ref="F40:R40" si="16">+F39+F35</f>
        <v>17.78</v>
      </c>
      <c r="G40" s="304">
        <f t="shared" si="16"/>
        <v>18.32</v>
      </c>
      <c r="H40" s="304">
        <f t="shared" si="16"/>
        <v>18.87</v>
      </c>
      <c r="I40" s="305">
        <f t="shared" si="16"/>
        <v>19.600000000000001</v>
      </c>
      <c r="J40" s="304">
        <f t="shared" si="16"/>
        <v>19.95</v>
      </c>
      <c r="K40" s="305">
        <f t="shared" si="16"/>
        <v>21.77</v>
      </c>
      <c r="L40" s="304">
        <f t="shared" si="16"/>
        <v>21.3</v>
      </c>
      <c r="M40" s="304">
        <f t="shared" si="16"/>
        <v>23.98</v>
      </c>
      <c r="N40" s="305">
        <f t="shared" si="16"/>
        <v>26.11</v>
      </c>
      <c r="O40" s="304">
        <f t="shared" si="16"/>
        <v>27.45</v>
      </c>
      <c r="P40" s="305">
        <f t="shared" si="16"/>
        <v>28.66</v>
      </c>
      <c r="Q40" s="304">
        <f t="shared" si="16"/>
        <v>32.020000000000003</v>
      </c>
      <c r="R40" s="305">
        <f t="shared" si="16"/>
        <v>32.020000000000003</v>
      </c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</row>
    <row r="43" spans="1:18" s="183" customFormat="1" x14ac:dyDescent="0.35"/>
    <row r="44" spans="1:18" x14ac:dyDescent="0.35"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</row>
    <row r="45" spans="1:18" s="199" customFormat="1" x14ac:dyDescent="0.35">
      <c r="B45" s="200" t="s">
        <v>280</v>
      </c>
    </row>
    <row r="46" spans="1:18" s="199" customFormat="1" x14ac:dyDescent="0.35">
      <c r="B46" s="200" t="s">
        <v>280</v>
      </c>
    </row>
    <row r="47" spans="1:18" s="199" customFormat="1" x14ac:dyDescent="0.35">
      <c r="B47" s="200"/>
    </row>
    <row r="48" spans="1:18" s="199" customFormat="1" x14ac:dyDescent="0.35">
      <c r="B48" s="200" t="s">
        <v>134</v>
      </c>
      <c r="C48" s="201">
        <f>4.97%</f>
        <v>4.9699999999999994E-2</v>
      </c>
    </row>
    <row r="49" spans="1:18" s="199" customFormat="1" x14ac:dyDescent="0.35">
      <c r="B49" s="200" t="s">
        <v>135</v>
      </c>
      <c r="C49" s="201">
        <f>4.4%</f>
        <v>4.4000000000000004E-2</v>
      </c>
    </row>
    <row r="50" spans="1:18" s="199" customFormat="1" x14ac:dyDescent="0.35">
      <c r="B50" s="200" t="s">
        <v>136</v>
      </c>
      <c r="C50" s="202">
        <v>0</v>
      </c>
    </row>
    <row r="51" spans="1:18" s="199" customFormat="1" x14ac:dyDescent="0.35">
      <c r="B51" s="200" t="s">
        <v>2</v>
      </c>
      <c r="C51" s="202">
        <v>0</v>
      </c>
    </row>
    <row r="52" spans="1:18" s="199" customFormat="1" x14ac:dyDescent="0.35">
      <c r="B52" s="200"/>
    </row>
    <row r="53" spans="1:18" s="199" customFormat="1" x14ac:dyDescent="0.35">
      <c r="B53" s="200" t="s">
        <v>64</v>
      </c>
    </row>
    <row r="54" spans="1:18" s="199" customFormat="1" x14ac:dyDescent="0.35">
      <c r="B54" s="200" t="s">
        <v>87</v>
      </c>
    </row>
    <row r="55" spans="1:18" s="199" customFormat="1" x14ac:dyDescent="0.35">
      <c r="B55" s="200"/>
    </row>
    <row r="56" spans="1:18" s="199" customFormat="1" x14ac:dyDescent="0.35">
      <c r="A56" s="199" t="s">
        <v>306</v>
      </c>
      <c r="B56" s="295">
        <v>2747.04</v>
      </c>
      <c r="C56" s="296">
        <v>2783.24</v>
      </c>
      <c r="D56" s="295">
        <v>2926.92</v>
      </c>
      <c r="E56" s="296"/>
      <c r="F56" s="295">
        <v>3154.69</v>
      </c>
      <c r="G56" s="295">
        <v>3252.25</v>
      </c>
      <c r="H56" s="295">
        <v>3351.14</v>
      </c>
      <c r="I56" s="296">
        <v>3481.75</v>
      </c>
      <c r="J56" s="295">
        <v>3544.11</v>
      </c>
      <c r="K56" s="296">
        <v>3870.67</v>
      </c>
      <c r="L56" s="295">
        <v>3786.28</v>
      </c>
      <c r="M56" s="295">
        <v>4265.91</v>
      </c>
      <c r="N56" s="296">
        <v>4646.88</v>
      </c>
      <c r="O56" s="295">
        <v>4887.57</v>
      </c>
      <c r="P56" s="296">
        <v>5105.26</v>
      </c>
      <c r="Q56" s="295">
        <v>5707.26</v>
      </c>
      <c r="R56" s="297">
        <v>5707.26</v>
      </c>
    </row>
    <row r="58" spans="1:18" x14ac:dyDescent="0.35">
      <c r="B58" s="294"/>
      <c r="C58" s="294"/>
      <c r="D58" s="294"/>
      <c r="F58" s="294"/>
      <c r="G58" s="294"/>
    </row>
    <row r="59" spans="1:18" x14ac:dyDescent="0.35">
      <c r="B59" s="180"/>
      <c r="C59" s="180"/>
    </row>
    <row r="60" spans="1:18" x14ac:dyDescent="0.35">
      <c r="C60" s="183"/>
      <c r="D60" s="183"/>
      <c r="F60" s="183"/>
      <c r="G60" s="183"/>
    </row>
    <row r="61" spans="1:18" x14ac:dyDescent="0.35">
      <c r="B61" s="180"/>
      <c r="C61" s="180"/>
      <c r="D61" s="180"/>
      <c r="E61" s="183"/>
      <c r="F61" s="180"/>
      <c r="G61" s="180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</row>
    <row r="62" spans="1:18" x14ac:dyDescent="0.35">
      <c r="B62" s="180"/>
      <c r="C62" s="180"/>
    </row>
    <row r="64" spans="1:18" x14ac:dyDescent="0.35">
      <c r="B64" s="306"/>
      <c r="C64" s="306"/>
      <c r="D64" s="306"/>
      <c r="E64" s="306"/>
      <c r="F64" s="306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</row>
    <row r="65" spans="2:18" x14ac:dyDescent="0.35"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</row>
    <row r="66" spans="2:18" x14ac:dyDescent="0.35"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</row>
    <row r="67" spans="2:18" x14ac:dyDescent="0.35"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  <c r="Q67" s="180"/>
      <c r="R67" s="180"/>
    </row>
  </sheetData>
  <conditionalFormatting sqref="B2">
    <cfRule type="expression" dxfId="1" priority="2">
      <formula>B1="Generale"</formula>
    </cfRule>
  </conditionalFormatting>
  <dataValidations count="2">
    <dataValidation type="list" allowBlank="1" showInputMessage="1" showErrorMessage="1" sqref="B1" xr:uid="{00000000-0002-0000-0800-000000000000}">
      <formula1>$B$45:$B$46</formula1>
      <formula2>0</formula2>
    </dataValidation>
    <dataValidation type="list" allowBlank="1" showInputMessage="1" showErrorMessage="1" sqref="B5" xr:uid="{00000000-0002-0000-0800-000001000000}">
      <formula1>$B$53:$B$54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67"/>
  <sheetViews>
    <sheetView zoomScaleNormal="100" workbookViewId="0">
      <selection activeCell="N3" sqref="N3"/>
    </sheetView>
  </sheetViews>
  <sheetFormatPr defaultColWidth="8.7265625" defaultRowHeight="14.5" x14ac:dyDescent="0.35"/>
  <cols>
    <col min="1" max="1" width="44.26953125" customWidth="1"/>
    <col min="2" max="2" width="9.1796875" style="183" customWidth="1"/>
    <col min="4" max="4" width="11.1796875" customWidth="1"/>
    <col min="9" max="9" width="13.26953125" customWidth="1"/>
  </cols>
  <sheetData>
    <row r="1" spans="1:19" x14ac:dyDescent="0.35">
      <c r="A1" t="s">
        <v>279</v>
      </c>
      <c r="B1" s="184" t="s">
        <v>280</v>
      </c>
    </row>
    <row r="2" spans="1:19" x14ac:dyDescent="0.35">
      <c r="A2" t="s">
        <v>148</v>
      </c>
      <c r="B2" s="184" t="str">
        <f>+INPUT!C2</f>
        <v>Puglia</v>
      </c>
    </row>
    <row r="3" spans="1:19" x14ac:dyDescent="0.35">
      <c r="A3" t="s">
        <v>281</v>
      </c>
      <c r="B3" s="185">
        <f>+IF(B1="Generale",0.039,INDEX(C48:C51,MATCH(B2,B48:B51,0)))</f>
        <v>0</v>
      </c>
    </row>
    <row r="4" spans="1:19" x14ac:dyDescent="0.35">
      <c r="B4" s="185"/>
    </row>
    <row r="5" spans="1:19" x14ac:dyDescent="0.35">
      <c r="A5" t="s">
        <v>282</v>
      </c>
      <c r="B5" s="186" t="s">
        <v>87</v>
      </c>
    </row>
    <row r="6" spans="1:19" x14ac:dyDescent="0.35">
      <c r="A6" t="s">
        <v>283</v>
      </c>
      <c r="B6" s="183">
        <v>1548</v>
      </c>
      <c r="C6">
        <v>1548</v>
      </c>
    </row>
    <row r="8" spans="1:19" x14ac:dyDescent="0.35">
      <c r="B8" s="294"/>
    </row>
    <row r="9" spans="1:19" s="136" customFormat="1" x14ac:dyDescent="0.35">
      <c r="A9" s="187" t="s">
        <v>284</v>
      </c>
      <c r="B9" s="188" t="s">
        <v>240</v>
      </c>
      <c r="C9" s="148" t="s">
        <v>245</v>
      </c>
      <c r="D9" s="161" t="s">
        <v>247</v>
      </c>
      <c r="E9" s="148" t="s">
        <v>249</v>
      </c>
      <c r="F9" s="161" t="s">
        <v>250</v>
      </c>
      <c r="G9" s="161" t="s">
        <v>254</v>
      </c>
      <c r="H9" s="161" t="s">
        <v>256</v>
      </c>
      <c r="I9" s="148" t="s">
        <v>259</v>
      </c>
      <c r="J9" s="161" t="s">
        <v>255</v>
      </c>
      <c r="K9" s="148" t="s">
        <v>264</v>
      </c>
      <c r="L9" s="161" t="s">
        <v>260</v>
      </c>
      <c r="M9" s="161" t="s">
        <v>262</v>
      </c>
      <c r="N9" s="148" t="s">
        <v>268</v>
      </c>
      <c r="O9" s="161" t="s">
        <v>265</v>
      </c>
      <c r="P9" s="148" t="s">
        <v>271</v>
      </c>
      <c r="Q9" s="161" t="s">
        <v>266</v>
      </c>
      <c r="R9" s="149" t="s">
        <v>274</v>
      </c>
    </row>
    <row r="10" spans="1:19" x14ac:dyDescent="0.35">
      <c r="A10" s="162" t="s">
        <v>285</v>
      </c>
      <c r="B10" s="295">
        <v>1254.5899999999999</v>
      </c>
      <c r="C10" s="296">
        <v>1266.21</v>
      </c>
      <c r="D10" s="295">
        <v>1325.21</v>
      </c>
      <c r="E10" s="296"/>
      <c r="F10" s="295">
        <v>1425.21</v>
      </c>
      <c r="G10" s="295">
        <v>1467.9</v>
      </c>
      <c r="H10" s="295">
        <v>1511.25</v>
      </c>
      <c r="I10" s="296">
        <v>1511.25</v>
      </c>
      <c r="J10" s="295">
        <v>1594.15</v>
      </c>
      <c r="K10" s="296">
        <v>1594.15</v>
      </c>
      <c r="L10" s="295">
        <v>1697.04</v>
      </c>
      <c r="M10" s="295">
        <v>1831.74</v>
      </c>
      <c r="N10" s="296">
        <v>1831.74</v>
      </c>
      <c r="O10" s="295">
        <v>2023.07</v>
      </c>
      <c r="P10" s="296">
        <v>2023.07</v>
      </c>
      <c r="Q10" s="295">
        <v>2310.41</v>
      </c>
      <c r="R10" s="297">
        <v>2310.41</v>
      </c>
      <c r="S10" s="183"/>
    </row>
    <row r="11" spans="1:19" x14ac:dyDescent="0.35">
      <c r="A11" s="162" t="s">
        <v>286</v>
      </c>
      <c r="B11" s="295">
        <v>34.86</v>
      </c>
      <c r="C11" s="298">
        <v>40.29</v>
      </c>
      <c r="D11" s="299">
        <v>48.81</v>
      </c>
      <c r="E11" s="298"/>
      <c r="F11" s="299">
        <v>55.77</v>
      </c>
      <c r="G11" s="299">
        <v>58.89</v>
      </c>
      <c r="H11" s="299">
        <v>61.98</v>
      </c>
      <c r="I11" s="298">
        <v>61.98</v>
      </c>
      <c r="J11" s="299">
        <v>69.72</v>
      </c>
      <c r="K11" s="298">
        <v>69.72</v>
      </c>
      <c r="L11" s="299">
        <v>80.58</v>
      </c>
      <c r="M11" s="299">
        <v>94.5</v>
      </c>
      <c r="N11" s="298">
        <v>94.5</v>
      </c>
      <c r="O11" s="299">
        <v>118.53</v>
      </c>
      <c r="P11" s="298">
        <v>118.53</v>
      </c>
      <c r="Q11" s="299">
        <v>139.44</v>
      </c>
      <c r="R11" s="300">
        <v>139.44</v>
      </c>
      <c r="S11" s="183"/>
    </row>
    <row r="12" spans="1:19" x14ac:dyDescent="0.35">
      <c r="A12" s="162" t="s">
        <v>287</v>
      </c>
      <c r="B12" s="295"/>
      <c r="C12" s="296"/>
      <c r="D12" s="295"/>
      <c r="E12" s="296"/>
      <c r="F12" s="295"/>
      <c r="G12" s="295"/>
      <c r="H12" s="295"/>
      <c r="I12" s="298">
        <v>61.97</v>
      </c>
      <c r="J12" s="295"/>
      <c r="K12" s="298">
        <v>154.94</v>
      </c>
      <c r="L12" s="295"/>
      <c r="M12" s="295"/>
      <c r="N12" s="298">
        <v>258.23</v>
      </c>
      <c r="O12" s="295"/>
      <c r="P12" s="298">
        <v>258.23</v>
      </c>
      <c r="Q12" s="295"/>
      <c r="R12" s="300">
        <v>232.41</v>
      </c>
      <c r="S12" s="183"/>
    </row>
    <row r="13" spans="1:19" x14ac:dyDescent="0.35">
      <c r="A13" s="162" t="s">
        <v>288</v>
      </c>
      <c r="B13" s="295"/>
      <c r="C13" s="296"/>
      <c r="D13" s="295"/>
      <c r="E13" s="298"/>
      <c r="F13" s="295"/>
      <c r="G13" s="295"/>
      <c r="H13" s="295"/>
      <c r="I13" s="296"/>
      <c r="J13" s="295"/>
      <c r="K13" s="296"/>
      <c r="L13" s="295"/>
      <c r="M13" s="299">
        <v>77.47</v>
      </c>
      <c r="N13" s="296"/>
      <c r="O13" s="299">
        <v>154.94</v>
      </c>
      <c r="P13" s="296"/>
      <c r="Q13" s="299">
        <v>232.41</v>
      </c>
      <c r="R13" s="297"/>
      <c r="S13" s="183"/>
    </row>
    <row r="14" spans="1:19" x14ac:dyDescent="0.35">
      <c r="A14" s="162" t="s">
        <v>289</v>
      </c>
      <c r="B14" s="295">
        <v>31.99</v>
      </c>
      <c r="C14" s="298">
        <v>32.29</v>
      </c>
      <c r="D14" s="299">
        <v>33.79</v>
      </c>
      <c r="E14" s="298"/>
      <c r="F14" s="299">
        <v>36.340000000000003</v>
      </c>
      <c r="G14" s="299">
        <v>37.43</v>
      </c>
      <c r="H14" s="299">
        <v>38.54</v>
      </c>
      <c r="I14" s="298">
        <v>38.54</v>
      </c>
      <c r="J14" s="299">
        <v>40.65</v>
      </c>
      <c r="K14" s="298">
        <v>40.65</v>
      </c>
      <c r="L14" s="299">
        <v>43.27</v>
      </c>
      <c r="M14" s="299">
        <v>46.71</v>
      </c>
      <c r="N14" s="298">
        <v>46.71</v>
      </c>
      <c r="O14" s="299">
        <v>51.59</v>
      </c>
      <c r="P14" s="298">
        <v>51.59</v>
      </c>
      <c r="Q14" s="299">
        <v>58.92</v>
      </c>
      <c r="R14" s="300">
        <v>58.92</v>
      </c>
      <c r="S14" s="183"/>
    </row>
    <row r="15" spans="1:19" x14ac:dyDescent="0.35">
      <c r="B15" s="194"/>
      <c r="C15" s="183"/>
      <c r="D15" s="194"/>
      <c r="F15" s="194"/>
      <c r="G15" s="194"/>
      <c r="H15" s="194"/>
      <c r="I15" s="183"/>
      <c r="J15" s="194"/>
      <c r="K15" s="183"/>
      <c r="L15" s="194"/>
      <c r="M15" s="194"/>
      <c r="N15" s="183"/>
      <c r="O15" s="194"/>
      <c r="P15" s="183"/>
      <c r="Q15" s="194"/>
      <c r="R15" s="183"/>
    </row>
    <row r="16" spans="1:19" x14ac:dyDescent="0.35">
      <c r="A16" s="162" t="s">
        <v>290</v>
      </c>
      <c r="B16" s="189">
        <f t="shared" ref="B16:R16" si="0">+SUM(B10:B14)</f>
        <v>1321.4399999999998</v>
      </c>
      <c r="C16" s="190">
        <f t="shared" si="0"/>
        <v>1338.79</v>
      </c>
      <c r="D16" s="189">
        <f t="shared" si="0"/>
        <v>1407.81</v>
      </c>
      <c r="E16" s="190">
        <f t="shared" si="0"/>
        <v>0</v>
      </c>
      <c r="F16" s="189">
        <f t="shared" si="0"/>
        <v>1517.32</v>
      </c>
      <c r="G16" s="189">
        <f t="shared" si="0"/>
        <v>1564.2200000000003</v>
      </c>
      <c r="H16" s="189">
        <f t="shared" si="0"/>
        <v>1611.77</v>
      </c>
      <c r="I16" s="190">
        <f t="shared" si="0"/>
        <v>1673.74</v>
      </c>
      <c r="J16" s="189">
        <f t="shared" si="0"/>
        <v>1704.5200000000002</v>
      </c>
      <c r="K16" s="190">
        <f t="shared" si="0"/>
        <v>1859.4600000000003</v>
      </c>
      <c r="L16" s="189">
        <f t="shared" si="0"/>
        <v>1820.8899999999999</v>
      </c>
      <c r="M16" s="189">
        <f t="shared" si="0"/>
        <v>2050.42</v>
      </c>
      <c r="N16" s="190">
        <f t="shared" si="0"/>
        <v>2231.1800000000003</v>
      </c>
      <c r="O16" s="189">
        <f t="shared" si="0"/>
        <v>2348.13</v>
      </c>
      <c r="P16" s="190">
        <f t="shared" si="0"/>
        <v>2451.42</v>
      </c>
      <c r="Q16" s="189">
        <f t="shared" si="0"/>
        <v>2741.18</v>
      </c>
      <c r="R16" s="191">
        <f t="shared" si="0"/>
        <v>2741.18</v>
      </c>
    </row>
    <row r="17" spans="1:18" x14ac:dyDescent="0.35">
      <c r="A17" s="196" t="s">
        <v>291</v>
      </c>
      <c r="B17" s="301">
        <f t="shared" ref="B17:R17" si="1">+B16*13</f>
        <v>17178.719999999998</v>
      </c>
      <c r="C17" s="302">
        <f t="shared" si="1"/>
        <v>17404.27</v>
      </c>
      <c r="D17" s="301">
        <f t="shared" si="1"/>
        <v>18301.53</v>
      </c>
      <c r="E17" s="302">
        <f t="shared" si="1"/>
        <v>0</v>
      </c>
      <c r="F17" s="301">
        <f t="shared" si="1"/>
        <v>19725.16</v>
      </c>
      <c r="G17" s="301">
        <f t="shared" si="1"/>
        <v>20334.860000000004</v>
      </c>
      <c r="H17" s="301">
        <f t="shared" si="1"/>
        <v>20953.009999999998</v>
      </c>
      <c r="I17" s="302">
        <f t="shared" si="1"/>
        <v>21758.62</v>
      </c>
      <c r="J17" s="301">
        <f t="shared" si="1"/>
        <v>22158.760000000002</v>
      </c>
      <c r="K17" s="302">
        <f t="shared" si="1"/>
        <v>24172.980000000003</v>
      </c>
      <c r="L17" s="301">
        <f t="shared" si="1"/>
        <v>23671.57</v>
      </c>
      <c r="M17" s="301">
        <f t="shared" si="1"/>
        <v>26655.46</v>
      </c>
      <c r="N17" s="302">
        <f t="shared" si="1"/>
        <v>29005.340000000004</v>
      </c>
      <c r="O17" s="301">
        <f t="shared" si="1"/>
        <v>30525.690000000002</v>
      </c>
      <c r="P17" s="302">
        <f t="shared" si="1"/>
        <v>31868.46</v>
      </c>
      <c r="Q17" s="301">
        <f t="shared" si="1"/>
        <v>35635.339999999997</v>
      </c>
      <c r="R17" s="303">
        <f t="shared" si="1"/>
        <v>35635.339999999997</v>
      </c>
    </row>
    <row r="18" spans="1:18" x14ac:dyDescent="0.35">
      <c r="B18" s="194"/>
      <c r="D18" s="195"/>
      <c r="F18" s="195"/>
      <c r="G18" s="195"/>
      <c r="H18" s="195"/>
      <c r="J18" s="195"/>
      <c r="L18" s="195"/>
      <c r="M18" s="195"/>
      <c r="O18" s="195"/>
      <c r="Q18" s="195"/>
    </row>
    <row r="19" spans="1:18" x14ac:dyDescent="0.35">
      <c r="A19" s="162" t="s">
        <v>292</v>
      </c>
      <c r="B19" s="189"/>
      <c r="C19" s="192"/>
      <c r="D19" s="163"/>
      <c r="E19" s="192"/>
      <c r="F19" s="163"/>
      <c r="G19" s="163"/>
      <c r="H19" s="163"/>
      <c r="I19" s="192"/>
      <c r="J19" s="163"/>
      <c r="K19" s="192"/>
      <c r="L19" s="163"/>
      <c r="M19" s="163"/>
      <c r="N19" s="192"/>
      <c r="O19" s="163"/>
      <c r="P19" s="192"/>
      <c r="Q19" s="163"/>
      <c r="R19" s="193"/>
    </row>
    <row r="20" spans="1:18" x14ac:dyDescent="0.35">
      <c r="A20" s="162" t="s">
        <v>357</v>
      </c>
      <c r="B20" s="189">
        <f>+B17*0.2733</f>
        <v>4694.9441759999991</v>
      </c>
      <c r="C20" s="190">
        <f>+C17*0.2733</f>
        <v>4756.5869910000001</v>
      </c>
      <c r="D20" s="189">
        <f>+D17*0.2733</f>
        <v>5001.8081489999995</v>
      </c>
      <c r="E20" s="190"/>
      <c r="F20" s="189">
        <f t="shared" ref="F20:R20" si="2">+F17*0.2733</f>
        <v>5390.8862279999994</v>
      </c>
      <c r="G20" s="189">
        <f t="shared" si="2"/>
        <v>5557.5172380000013</v>
      </c>
      <c r="H20" s="189">
        <f t="shared" si="2"/>
        <v>5726.4576329999991</v>
      </c>
      <c r="I20" s="190">
        <f t="shared" si="2"/>
        <v>5946.6308459999991</v>
      </c>
      <c r="J20" s="189">
        <f t="shared" si="2"/>
        <v>6055.9891080000007</v>
      </c>
      <c r="K20" s="190">
        <f t="shared" si="2"/>
        <v>6606.4754340000009</v>
      </c>
      <c r="L20" s="189">
        <f t="shared" si="2"/>
        <v>6469.4400809999997</v>
      </c>
      <c r="M20" s="189">
        <f t="shared" si="2"/>
        <v>7284.9372179999991</v>
      </c>
      <c r="N20" s="190">
        <f t="shared" si="2"/>
        <v>7927.1594220000006</v>
      </c>
      <c r="O20" s="189">
        <f t="shared" si="2"/>
        <v>8342.6710770000009</v>
      </c>
      <c r="P20" s="190">
        <f t="shared" si="2"/>
        <v>8709.6501179999996</v>
      </c>
      <c r="Q20" s="189">
        <f t="shared" si="2"/>
        <v>9739.1384219999982</v>
      </c>
      <c r="R20" s="191">
        <f t="shared" si="2"/>
        <v>9739.1384219999982</v>
      </c>
    </row>
    <row r="21" spans="1:18" x14ac:dyDescent="0.35">
      <c r="A21" s="162" t="s">
        <v>294</v>
      </c>
      <c r="B21" s="189">
        <f>+B17*0.03</f>
        <v>515.36159999999995</v>
      </c>
      <c r="C21" s="190">
        <f>+C17*0.03</f>
        <v>522.12810000000002</v>
      </c>
      <c r="D21" s="189">
        <f>+D17*0.03</f>
        <v>549.04589999999996</v>
      </c>
      <c r="E21" s="190"/>
      <c r="F21" s="189">
        <f t="shared" ref="F21:R21" si="3">+F17*0.03</f>
        <v>591.75479999999993</v>
      </c>
      <c r="G21" s="189">
        <f t="shared" si="3"/>
        <v>610.0458000000001</v>
      </c>
      <c r="H21" s="189">
        <f t="shared" si="3"/>
        <v>628.59029999999996</v>
      </c>
      <c r="I21" s="190">
        <f t="shared" si="3"/>
        <v>652.7586</v>
      </c>
      <c r="J21" s="189">
        <f t="shared" si="3"/>
        <v>664.76280000000008</v>
      </c>
      <c r="K21" s="190">
        <f t="shared" si="3"/>
        <v>725.18940000000009</v>
      </c>
      <c r="L21" s="189">
        <f t="shared" si="3"/>
        <v>710.14709999999991</v>
      </c>
      <c r="M21" s="189">
        <f t="shared" si="3"/>
        <v>799.66379999999992</v>
      </c>
      <c r="N21" s="190">
        <f t="shared" si="3"/>
        <v>870.16020000000003</v>
      </c>
      <c r="O21" s="189">
        <f t="shared" si="3"/>
        <v>915.77070000000003</v>
      </c>
      <c r="P21" s="190">
        <f t="shared" si="3"/>
        <v>956.05379999999991</v>
      </c>
      <c r="Q21" s="189">
        <f t="shared" si="3"/>
        <v>1069.0601999999999</v>
      </c>
      <c r="R21" s="191">
        <f t="shared" si="3"/>
        <v>1069.0601999999999</v>
      </c>
    </row>
    <row r="22" spans="1:18" x14ac:dyDescent="0.35">
      <c r="A22" s="162" t="s">
        <v>295</v>
      </c>
      <c r="B22" s="189">
        <f>+B21+B20</f>
        <v>5210.3057759999992</v>
      </c>
      <c r="C22" s="190">
        <f>+C21+C20</f>
        <v>5278.715091</v>
      </c>
      <c r="D22" s="189">
        <f>+D21+D20</f>
        <v>5550.8540489999996</v>
      </c>
      <c r="E22" s="190"/>
      <c r="F22" s="189">
        <f t="shared" ref="F22:R22" si="4">+F21+F20</f>
        <v>5982.6410279999991</v>
      </c>
      <c r="G22" s="189">
        <f t="shared" si="4"/>
        <v>6167.5630380000011</v>
      </c>
      <c r="H22" s="189">
        <f t="shared" si="4"/>
        <v>6355.0479329999989</v>
      </c>
      <c r="I22" s="190">
        <f t="shared" si="4"/>
        <v>6599.3894459999992</v>
      </c>
      <c r="J22" s="189">
        <f t="shared" si="4"/>
        <v>6720.7519080000011</v>
      </c>
      <c r="K22" s="190">
        <f t="shared" si="4"/>
        <v>7331.6648340000011</v>
      </c>
      <c r="L22" s="189">
        <f t="shared" si="4"/>
        <v>7179.5871809999999</v>
      </c>
      <c r="M22" s="189">
        <f t="shared" si="4"/>
        <v>8084.6010179999994</v>
      </c>
      <c r="N22" s="190">
        <f t="shared" si="4"/>
        <v>8797.3196220000009</v>
      </c>
      <c r="O22" s="189">
        <f t="shared" si="4"/>
        <v>9258.441777</v>
      </c>
      <c r="P22" s="190">
        <f t="shared" si="4"/>
        <v>9665.7039179999992</v>
      </c>
      <c r="Q22" s="189">
        <f t="shared" si="4"/>
        <v>10808.198621999998</v>
      </c>
      <c r="R22" s="191">
        <f t="shared" si="4"/>
        <v>10808.198621999998</v>
      </c>
    </row>
    <row r="23" spans="1:18" x14ac:dyDescent="0.35">
      <c r="B23" s="194"/>
      <c r="D23" s="195"/>
      <c r="F23" s="195"/>
      <c r="G23" s="195"/>
      <c r="H23" s="195"/>
      <c r="J23" s="195"/>
      <c r="L23" s="195"/>
      <c r="M23" s="195"/>
      <c r="O23" s="195"/>
      <c r="Q23" s="195"/>
    </row>
    <row r="24" spans="1:18" x14ac:dyDescent="0.35">
      <c r="A24" t="s">
        <v>358</v>
      </c>
      <c r="B24" s="194">
        <v>200</v>
      </c>
      <c r="C24">
        <v>200</v>
      </c>
      <c r="D24" s="195">
        <v>200</v>
      </c>
      <c r="F24" s="195">
        <v>200</v>
      </c>
      <c r="G24" s="195">
        <v>200</v>
      </c>
      <c r="H24" s="195">
        <v>200</v>
      </c>
      <c r="I24">
        <v>200</v>
      </c>
      <c r="J24" s="195">
        <v>200</v>
      </c>
      <c r="K24">
        <v>200</v>
      </c>
      <c r="L24" s="195">
        <v>200</v>
      </c>
      <c r="M24" s="195">
        <v>200</v>
      </c>
      <c r="N24">
        <v>200</v>
      </c>
      <c r="O24" s="195">
        <v>200</v>
      </c>
      <c r="P24">
        <v>200</v>
      </c>
      <c r="Q24" s="195">
        <v>200</v>
      </c>
      <c r="R24">
        <v>200</v>
      </c>
    </row>
    <row r="25" spans="1:18" x14ac:dyDescent="0.35">
      <c r="A25" s="162" t="s">
        <v>296</v>
      </c>
      <c r="B25" s="189">
        <f>+B16*0.962962</f>
        <v>1272.4965052799998</v>
      </c>
      <c r="C25" s="190">
        <f>+C16*0.962962</f>
        <v>1289.20389598</v>
      </c>
      <c r="D25" s="189">
        <f>+D16*0.962962</f>
        <v>1355.66753322</v>
      </c>
      <c r="E25" s="190"/>
      <c r="F25" s="189">
        <f t="shared" ref="F25:R25" si="5">+F16*0.962962</f>
        <v>1461.1215018399998</v>
      </c>
      <c r="G25" s="189">
        <f t="shared" si="5"/>
        <v>1506.2844196400001</v>
      </c>
      <c r="H25" s="189">
        <f t="shared" si="5"/>
        <v>1552.07326274</v>
      </c>
      <c r="I25" s="190">
        <f t="shared" si="5"/>
        <v>1611.7480178799999</v>
      </c>
      <c r="J25" s="189">
        <f t="shared" si="5"/>
        <v>1641.3879882400001</v>
      </c>
      <c r="K25" s="190">
        <f t="shared" si="5"/>
        <v>1790.5893205200002</v>
      </c>
      <c r="L25" s="189">
        <f t="shared" si="5"/>
        <v>1753.4478761799999</v>
      </c>
      <c r="M25" s="189">
        <f t="shared" si="5"/>
        <v>1974.4765440400001</v>
      </c>
      <c r="N25" s="190">
        <f t="shared" si="5"/>
        <v>2148.5415551600004</v>
      </c>
      <c r="O25" s="189">
        <f t="shared" si="5"/>
        <v>2261.1599610600001</v>
      </c>
      <c r="P25" s="190">
        <f t="shared" si="5"/>
        <v>2360.6243060400002</v>
      </c>
      <c r="Q25" s="189">
        <f t="shared" si="5"/>
        <v>2639.6521751599998</v>
      </c>
      <c r="R25" s="191">
        <f t="shared" si="5"/>
        <v>2639.6521751599998</v>
      </c>
    </row>
    <row r="26" spans="1:18" x14ac:dyDescent="0.35">
      <c r="A26" s="162" t="s">
        <v>362</v>
      </c>
      <c r="B26" s="189">
        <f t="shared" ref="B26:R26" si="6">+B25*0.018673*6</f>
        <v>142.56796345856063</v>
      </c>
      <c r="C26" s="190">
        <f t="shared" si="6"/>
        <v>144.43982609780721</v>
      </c>
      <c r="D26" s="189">
        <f t="shared" si="6"/>
        <v>151.88627908690233</v>
      </c>
      <c r="E26" s="190">
        <f t="shared" si="6"/>
        <v>0</v>
      </c>
      <c r="F26" s="189">
        <f t="shared" si="6"/>
        <v>163.70113082314987</v>
      </c>
      <c r="G26" s="189">
        <f t="shared" si="6"/>
        <v>168.76109380762634</v>
      </c>
      <c r="H26" s="189">
        <f t="shared" si="6"/>
        <v>173.89118421086411</v>
      </c>
      <c r="I26" s="190">
        <f t="shared" si="6"/>
        <v>180.57702442723942</v>
      </c>
      <c r="J26" s="189">
        <f t="shared" si="6"/>
        <v>183.89782742643311</v>
      </c>
      <c r="K26" s="190">
        <f t="shared" si="6"/>
        <v>200.61404629241977</v>
      </c>
      <c r="L26" s="189">
        <f t="shared" si="6"/>
        <v>196.45279315145481</v>
      </c>
      <c r="M26" s="189">
        <f t="shared" si="6"/>
        <v>221.21640304115351</v>
      </c>
      <c r="N26" s="190">
        <f t="shared" si="6"/>
        <v>240.7182987570161</v>
      </c>
      <c r="O26" s="189">
        <f t="shared" si="6"/>
        <v>253.33583971724028</v>
      </c>
      <c r="P26" s="190">
        <f t="shared" si="6"/>
        <v>264.47962600010953</v>
      </c>
      <c r="Q26" s="189">
        <f t="shared" si="6"/>
        <v>295.74135040057604</v>
      </c>
      <c r="R26" s="191">
        <f t="shared" si="6"/>
        <v>295.74135040057604</v>
      </c>
    </row>
    <row r="27" spans="1:18" x14ac:dyDescent="0.35">
      <c r="A27" s="162" t="s">
        <v>360</v>
      </c>
      <c r="B27" s="189">
        <f>+B17*0.015</f>
        <v>257.68079999999998</v>
      </c>
      <c r="C27" s="190">
        <f>+C17*0.015</f>
        <v>261.06405000000001</v>
      </c>
      <c r="D27" s="189">
        <f>+D17*0.015</f>
        <v>274.52294999999998</v>
      </c>
      <c r="E27" s="190"/>
      <c r="F27" s="189">
        <f t="shared" ref="F27:R27" si="7">+F17*0.015</f>
        <v>295.87739999999997</v>
      </c>
      <c r="G27" s="189">
        <f t="shared" si="7"/>
        <v>305.02290000000005</v>
      </c>
      <c r="H27" s="189">
        <f t="shared" si="7"/>
        <v>314.29514999999998</v>
      </c>
      <c r="I27" s="190">
        <f t="shared" si="7"/>
        <v>326.3793</v>
      </c>
      <c r="J27" s="189">
        <f t="shared" si="7"/>
        <v>332.38140000000004</v>
      </c>
      <c r="K27" s="190">
        <f t="shared" si="7"/>
        <v>362.59470000000005</v>
      </c>
      <c r="L27" s="189">
        <f t="shared" si="7"/>
        <v>355.07354999999995</v>
      </c>
      <c r="M27" s="189">
        <f t="shared" si="7"/>
        <v>399.83189999999996</v>
      </c>
      <c r="N27" s="190">
        <f t="shared" si="7"/>
        <v>435.08010000000002</v>
      </c>
      <c r="O27" s="189">
        <f t="shared" si="7"/>
        <v>457.88535000000002</v>
      </c>
      <c r="P27" s="190">
        <f t="shared" si="7"/>
        <v>478.02689999999996</v>
      </c>
      <c r="Q27" s="189">
        <f t="shared" si="7"/>
        <v>534.53009999999995</v>
      </c>
      <c r="R27" s="191">
        <f t="shared" si="7"/>
        <v>534.53009999999995</v>
      </c>
    </row>
    <row r="28" spans="1:18" x14ac:dyDescent="0.35">
      <c r="A28" s="162" t="s">
        <v>299</v>
      </c>
      <c r="B28" s="163">
        <v>66</v>
      </c>
      <c r="C28" s="192">
        <v>66</v>
      </c>
      <c r="D28" s="163">
        <v>66</v>
      </c>
      <c r="E28" s="192"/>
      <c r="F28" s="163">
        <v>66</v>
      </c>
      <c r="G28" s="163">
        <v>66</v>
      </c>
      <c r="H28" s="163">
        <v>66</v>
      </c>
      <c r="I28" s="192">
        <v>66</v>
      </c>
      <c r="J28" s="163">
        <v>66</v>
      </c>
      <c r="K28" s="192">
        <v>66</v>
      </c>
      <c r="L28" s="163">
        <v>66</v>
      </c>
      <c r="M28" s="163">
        <v>66</v>
      </c>
      <c r="N28" s="192">
        <v>66</v>
      </c>
      <c r="O28" s="163">
        <v>66</v>
      </c>
      <c r="P28" s="192">
        <v>66</v>
      </c>
      <c r="Q28" s="163">
        <v>66</v>
      </c>
      <c r="R28" s="193">
        <v>66</v>
      </c>
    </row>
    <row r="29" spans="1:18" x14ac:dyDescent="0.35">
      <c r="B29" s="194"/>
      <c r="D29" s="195"/>
      <c r="F29" s="195"/>
      <c r="G29" s="195"/>
      <c r="H29" s="195"/>
      <c r="J29" s="195"/>
      <c r="L29" s="195"/>
      <c r="M29" s="195"/>
      <c r="O29" s="195"/>
      <c r="Q29" s="195"/>
    </row>
    <row r="30" spans="1:18" x14ac:dyDescent="0.35">
      <c r="A30" s="162" t="s">
        <v>300</v>
      </c>
      <c r="B30" s="189">
        <f>+B17+B22+B25+B26+B27+B28+B24</f>
        <v>24327.771044738554</v>
      </c>
      <c r="C30" s="190">
        <f>+C17+C22+C25+C26+C27+C28+C24</f>
        <v>24643.692863077813</v>
      </c>
      <c r="D30" s="189">
        <f>+D17+D22+D25+D26+D27+D28+D24</f>
        <v>25900.460811306901</v>
      </c>
      <c r="E30" s="190"/>
      <c r="F30" s="189">
        <f t="shared" ref="F30:R30" si="8">+F17+F22+F25+F26+F27+F28+F24</f>
        <v>27894.501060663148</v>
      </c>
      <c r="G30" s="189">
        <f t="shared" si="8"/>
        <v>28748.49145144763</v>
      </c>
      <c r="H30" s="189">
        <f t="shared" si="8"/>
        <v>29614.317529950862</v>
      </c>
      <c r="I30" s="190">
        <f t="shared" si="8"/>
        <v>30742.713788307236</v>
      </c>
      <c r="J30" s="189">
        <f t="shared" si="8"/>
        <v>31303.179123666436</v>
      </c>
      <c r="K30" s="190">
        <f t="shared" si="8"/>
        <v>34124.442900812428</v>
      </c>
      <c r="L30" s="189">
        <f t="shared" si="8"/>
        <v>33422.131400331455</v>
      </c>
      <c r="M30" s="189">
        <f t="shared" si="8"/>
        <v>37601.58586508115</v>
      </c>
      <c r="N30" s="190">
        <f t="shared" si="8"/>
        <v>40892.999575917027</v>
      </c>
      <c r="O30" s="189">
        <f t="shared" si="8"/>
        <v>43022.512927777243</v>
      </c>
      <c r="P30" s="190">
        <f t="shared" si="8"/>
        <v>44903.294750040106</v>
      </c>
      <c r="Q30" s="189">
        <f t="shared" si="8"/>
        <v>50179.462247560572</v>
      </c>
      <c r="R30" s="191">
        <f t="shared" si="8"/>
        <v>50179.462247560572</v>
      </c>
    </row>
    <row r="31" spans="1:18" x14ac:dyDescent="0.35">
      <c r="A31" s="162" t="s">
        <v>282</v>
      </c>
      <c r="B31" s="189">
        <f>+IF($B$5="Si",B56,0)</f>
        <v>0</v>
      </c>
      <c r="C31" s="190">
        <f>+IF($B$5="Si",C56,0)</f>
        <v>0</v>
      </c>
      <c r="D31" s="189">
        <f>+IF($B$5="Si",D56,0)</f>
        <v>0</v>
      </c>
      <c r="E31" s="190"/>
      <c r="F31" s="189">
        <f t="shared" ref="F31:R31" si="9">+IF($B$5="Si",F56,0)</f>
        <v>0</v>
      </c>
      <c r="G31" s="189">
        <f t="shared" si="9"/>
        <v>0</v>
      </c>
      <c r="H31" s="189">
        <f t="shared" si="9"/>
        <v>0</v>
      </c>
      <c r="I31" s="190">
        <f t="shared" si="9"/>
        <v>0</v>
      </c>
      <c r="J31" s="189">
        <f t="shared" si="9"/>
        <v>0</v>
      </c>
      <c r="K31" s="190">
        <f t="shared" si="9"/>
        <v>0</v>
      </c>
      <c r="L31" s="189">
        <f t="shared" si="9"/>
        <v>0</v>
      </c>
      <c r="M31" s="189">
        <f t="shared" si="9"/>
        <v>0</v>
      </c>
      <c r="N31" s="190">
        <f t="shared" si="9"/>
        <v>0</v>
      </c>
      <c r="O31" s="189">
        <f t="shared" si="9"/>
        <v>0</v>
      </c>
      <c r="P31" s="190">
        <f t="shared" si="9"/>
        <v>0</v>
      </c>
      <c r="Q31" s="189">
        <f t="shared" si="9"/>
        <v>0</v>
      </c>
      <c r="R31" s="191">
        <f t="shared" si="9"/>
        <v>0</v>
      </c>
    </row>
    <row r="32" spans="1:18" x14ac:dyDescent="0.35">
      <c r="B32" s="194"/>
      <c r="C32" s="183"/>
      <c r="D32" s="194"/>
      <c r="E32" s="183"/>
      <c r="F32" s="194"/>
      <c r="G32" s="194"/>
      <c r="H32" s="194"/>
      <c r="I32" s="183"/>
      <c r="J32" s="194"/>
      <c r="K32" s="183"/>
      <c r="L32" s="194"/>
      <c r="M32" s="194"/>
      <c r="N32" s="183"/>
      <c r="O32" s="194"/>
      <c r="P32" s="183"/>
      <c r="Q32" s="194"/>
      <c r="R32" s="183"/>
    </row>
    <row r="33" spans="1:18" x14ac:dyDescent="0.35">
      <c r="A33" s="196" t="s">
        <v>301</v>
      </c>
      <c r="B33" s="301">
        <f>+B31+B30</f>
        <v>24327.771044738554</v>
      </c>
      <c r="C33" s="302">
        <f>+C31+C30</f>
        <v>24643.692863077813</v>
      </c>
      <c r="D33" s="301">
        <f>+D31+D30</f>
        <v>25900.460811306901</v>
      </c>
      <c r="E33" s="302"/>
      <c r="F33" s="301">
        <f t="shared" ref="F33:R33" si="10">+F31+F30</f>
        <v>27894.501060663148</v>
      </c>
      <c r="G33" s="301">
        <f t="shared" si="10"/>
        <v>28748.49145144763</v>
      </c>
      <c r="H33" s="301">
        <f t="shared" si="10"/>
        <v>29614.317529950862</v>
      </c>
      <c r="I33" s="302">
        <f t="shared" si="10"/>
        <v>30742.713788307236</v>
      </c>
      <c r="J33" s="301">
        <f t="shared" si="10"/>
        <v>31303.179123666436</v>
      </c>
      <c r="K33" s="302">
        <f t="shared" si="10"/>
        <v>34124.442900812428</v>
      </c>
      <c r="L33" s="301">
        <f t="shared" si="10"/>
        <v>33422.131400331455</v>
      </c>
      <c r="M33" s="301">
        <f t="shared" si="10"/>
        <v>37601.58586508115</v>
      </c>
      <c r="N33" s="302">
        <f t="shared" si="10"/>
        <v>40892.999575917027</v>
      </c>
      <c r="O33" s="301">
        <f t="shared" si="10"/>
        <v>43022.512927777243</v>
      </c>
      <c r="P33" s="302">
        <f t="shared" si="10"/>
        <v>44903.294750040106</v>
      </c>
      <c r="Q33" s="301">
        <f t="shared" si="10"/>
        <v>50179.462247560572</v>
      </c>
      <c r="R33" s="303">
        <f t="shared" si="10"/>
        <v>50179.462247560572</v>
      </c>
    </row>
    <row r="34" spans="1:18" x14ac:dyDescent="0.35">
      <c r="B34" s="194"/>
      <c r="C34" s="183"/>
      <c r="D34" s="194"/>
      <c r="E34" s="183"/>
      <c r="F34" s="194"/>
      <c r="G34" s="194"/>
      <c r="H34" s="194"/>
      <c r="I34" s="183"/>
      <c r="J34" s="194"/>
      <c r="K34" s="183"/>
      <c r="L34" s="194"/>
      <c r="M34" s="194"/>
      <c r="N34" s="183"/>
      <c r="O34" s="194"/>
      <c r="P34" s="183"/>
      <c r="Q34" s="194"/>
      <c r="R34" s="183"/>
    </row>
    <row r="35" spans="1:18" x14ac:dyDescent="0.35">
      <c r="A35" s="162" t="s">
        <v>117</v>
      </c>
      <c r="B35" s="189">
        <f>+ROUND(B33/$B$6,2)</f>
        <v>15.72</v>
      </c>
      <c r="C35" s="190">
        <f>+ROUND(C33/$B$6,2)</f>
        <v>15.92</v>
      </c>
      <c r="D35" s="189">
        <f>+ROUND(D33/$B$6,2)</f>
        <v>16.73</v>
      </c>
      <c r="E35" s="190"/>
      <c r="F35" s="189">
        <f t="shared" ref="F35:R35" si="11">+ROUND(F33/$B$6,2)</f>
        <v>18.02</v>
      </c>
      <c r="G35" s="189">
        <f t="shared" si="11"/>
        <v>18.57</v>
      </c>
      <c r="H35" s="189">
        <f t="shared" si="11"/>
        <v>19.13</v>
      </c>
      <c r="I35" s="190">
        <f t="shared" si="11"/>
        <v>19.86</v>
      </c>
      <c r="J35" s="189">
        <f t="shared" si="11"/>
        <v>20.22</v>
      </c>
      <c r="K35" s="190">
        <f t="shared" si="11"/>
        <v>22.04</v>
      </c>
      <c r="L35" s="189">
        <f t="shared" si="11"/>
        <v>21.59</v>
      </c>
      <c r="M35" s="189">
        <f t="shared" si="11"/>
        <v>24.29</v>
      </c>
      <c r="N35" s="190">
        <f t="shared" si="11"/>
        <v>26.42</v>
      </c>
      <c r="O35" s="189">
        <f t="shared" si="11"/>
        <v>27.79</v>
      </c>
      <c r="P35" s="190">
        <f t="shared" si="11"/>
        <v>29.01</v>
      </c>
      <c r="Q35" s="189">
        <f t="shared" si="11"/>
        <v>32.42</v>
      </c>
      <c r="R35" s="191">
        <f t="shared" si="11"/>
        <v>32.42</v>
      </c>
    </row>
    <row r="36" spans="1:18" x14ac:dyDescent="0.35">
      <c r="A36" s="162" t="s">
        <v>302</v>
      </c>
      <c r="B36" s="189">
        <f t="shared" ref="B36:R36" si="12">+B33-B21-B27-B24</f>
        <v>23354.728644738556</v>
      </c>
      <c r="C36" s="190">
        <f t="shared" si="12"/>
        <v>23660.50071307781</v>
      </c>
      <c r="D36" s="189">
        <f t="shared" si="12"/>
        <v>24876.891961306901</v>
      </c>
      <c r="E36" s="190">
        <f t="shared" si="12"/>
        <v>0</v>
      </c>
      <c r="F36" s="189">
        <f t="shared" si="12"/>
        <v>26806.868860663148</v>
      </c>
      <c r="G36" s="189">
        <f t="shared" si="12"/>
        <v>27633.42275144763</v>
      </c>
      <c r="H36" s="189">
        <f t="shared" si="12"/>
        <v>28471.43207995086</v>
      </c>
      <c r="I36" s="190">
        <f t="shared" si="12"/>
        <v>29563.575888307234</v>
      </c>
      <c r="J36" s="189">
        <f t="shared" si="12"/>
        <v>30106.034923666437</v>
      </c>
      <c r="K36" s="190">
        <f t="shared" si="12"/>
        <v>32836.658800812424</v>
      </c>
      <c r="L36" s="189">
        <f t="shared" si="12"/>
        <v>32156.910750331455</v>
      </c>
      <c r="M36" s="189">
        <f t="shared" si="12"/>
        <v>36202.09016508115</v>
      </c>
      <c r="N36" s="190">
        <f t="shared" si="12"/>
        <v>39387.759275917029</v>
      </c>
      <c r="O36" s="189">
        <f t="shared" si="12"/>
        <v>41448.856877777245</v>
      </c>
      <c r="P36" s="190">
        <f t="shared" si="12"/>
        <v>43269.214050040107</v>
      </c>
      <c r="Q36" s="189">
        <f t="shared" si="12"/>
        <v>48375.871947560576</v>
      </c>
      <c r="R36" s="191">
        <f t="shared" si="12"/>
        <v>48375.871947560576</v>
      </c>
    </row>
    <row r="37" spans="1:18" x14ac:dyDescent="0.35">
      <c r="A37" s="162" t="s">
        <v>303</v>
      </c>
      <c r="B37" s="189">
        <f>+ROUND(B36/$B$6,2)</f>
        <v>15.09</v>
      </c>
      <c r="C37" s="190">
        <f>+ROUND(C36/$B$6,2)</f>
        <v>15.28</v>
      </c>
      <c r="D37" s="189">
        <f>+ROUND(D36/$B$6,2)</f>
        <v>16.07</v>
      </c>
      <c r="E37" s="190"/>
      <c r="F37" s="189">
        <f t="shared" ref="F37:R37" si="13">+ROUND(F36/$B$6,2)</f>
        <v>17.32</v>
      </c>
      <c r="G37" s="189">
        <f t="shared" si="13"/>
        <v>17.850000000000001</v>
      </c>
      <c r="H37" s="189">
        <f t="shared" si="13"/>
        <v>18.39</v>
      </c>
      <c r="I37" s="190">
        <f t="shared" si="13"/>
        <v>19.100000000000001</v>
      </c>
      <c r="J37" s="189">
        <f t="shared" si="13"/>
        <v>19.45</v>
      </c>
      <c r="K37" s="190">
        <f t="shared" si="13"/>
        <v>21.21</v>
      </c>
      <c r="L37" s="189">
        <f t="shared" si="13"/>
        <v>20.77</v>
      </c>
      <c r="M37" s="189">
        <f t="shared" si="13"/>
        <v>23.39</v>
      </c>
      <c r="N37" s="190">
        <f t="shared" si="13"/>
        <v>25.44</v>
      </c>
      <c r="O37" s="189">
        <f t="shared" si="13"/>
        <v>26.78</v>
      </c>
      <c r="P37" s="190">
        <f t="shared" si="13"/>
        <v>27.95</v>
      </c>
      <c r="Q37" s="189">
        <f t="shared" si="13"/>
        <v>31.25</v>
      </c>
      <c r="R37" s="191">
        <f t="shared" si="13"/>
        <v>31.25</v>
      </c>
    </row>
    <row r="38" spans="1:18" x14ac:dyDescent="0.35">
      <c r="A38" s="162" t="s">
        <v>361</v>
      </c>
      <c r="B38" s="189">
        <f>+B37*0.039</f>
        <v>0.58850999999999998</v>
      </c>
      <c r="C38" s="190">
        <f>+C37*0.039</f>
        <v>0.59592000000000001</v>
      </c>
      <c r="D38" s="189">
        <f>+D37*0.039</f>
        <v>0.62673000000000001</v>
      </c>
      <c r="E38" s="190"/>
      <c r="F38" s="189">
        <f t="shared" ref="F38:R38" si="14">+F37*0.039</f>
        <v>0.67547999999999997</v>
      </c>
      <c r="G38" s="189">
        <f t="shared" si="14"/>
        <v>0.69615000000000005</v>
      </c>
      <c r="H38" s="189">
        <f t="shared" si="14"/>
        <v>0.71721000000000001</v>
      </c>
      <c r="I38" s="190">
        <f t="shared" si="14"/>
        <v>0.74490000000000001</v>
      </c>
      <c r="J38" s="189">
        <f t="shared" si="14"/>
        <v>0.75854999999999995</v>
      </c>
      <c r="K38" s="190">
        <f t="shared" si="14"/>
        <v>0.82718999999999998</v>
      </c>
      <c r="L38" s="189">
        <f t="shared" si="14"/>
        <v>0.81003000000000003</v>
      </c>
      <c r="M38" s="189">
        <f t="shared" si="14"/>
        <v>0.91221000000000008</v>
      </c>
      <c r="N38" s="190">
        <f t="shared" si="14"/>
        <v>0.99216000000000004</v>
      </c>
      <c r="O38" s="189">
        <f t="shared" si="14"/>
        <v>1.0444200000000001</v>
      </c>
      <c r="P38" s="190">
        <f t="shared" si="14"/>
        <v>1.09005</v>
      </c>
      <c r="Q38" s="189">
        <f t="shared" si="14"/>
        <v>1.21875</v>
      </c>
      <c r="R38" s="191">
        <f t="shared" si="14"/>
        <v>1.21875</v>
      </c>
    </row>
    <row r="39" spans="1:18" x14ac:dyDescent="0.35">
      <c r="A39" s="162" t="s">
        <v>304</v>
      </c>
      <c r="B39" s="189">
        <f>+ROUND(B37*$B$3,2)</f>
        <v>0</v>
      </c>
      <c r="C39" s="190">
        <f>+ROUND(C37*$B$3,2)</f>
        <v>0</v>
      </c>
      <c r="D39" s="189">
        <f>+ROUND(D37*$B$3,2)</f>
        <v>0</v>
      </c>
      <c r="E39" s="190"/>
      <c r="F39" s="189">
        <f t="shared" ref="F39:R39" si="15">+ROUND(F37*$B$3,2)</f>
        <v>0</v>
      </c>
      <c r="G39" s="189">
        <f t="shared" si="15"/>
        <v>0</v>
      </c>
      <c r="H39" s="189">
        <f t="shared" si="15"/>
        <v>0</v>
      </c>
      <c r="I39" s="190">
        <f t="shared" si="15"/>
        <v>0</v>
      </c>
      <c r="J39" s="189">
        <f t="shared" si="15"/>
        <v>0</v>
      </c>
      <c r="K39" s="190">
        <f t="shared" si="15"/>
        <v>0</v>
      </c>
      <c r="L39" s="189">
        <f t="shared" si="15"/>
        <v>0</v>
      </c>
      <c r="M39" s="189">
        <f t="shared" si="15"/>
        <v>0</v>
      </c>
      <c r="N39" s="190">
        <f t="shared" si="15"/>
        <v>0</v>
      </c>
      <c r="O39" s="189">
        <f t="shared" si="15"/>
        <v>0</v>
      </c>
      <c r="P39" s="190">
        <f t="shared" si="15"/>
        <v>0</v>
      </c>
      <c r="Q39" s="189">
        <f t="shared" si="15"/>
        <v>0</v>
      </c>
      <c r="R39" s="191">
        <f t="shared" si="15"/>
        <v>0</v>
      </c>
    </row>
    <row r="40" spans="1:18" x14ac:dyDescent="0.35">
      <c r="A40" s="196" t="s">
        <v>305</v>
      </c>
      <c r="B40" s="304">
        <f>+B39+B35</f>
        <v>15.72</v>
      </c>
      <c r="C40" s="305">
        <f>+C39+C35</f>
        <v>15.92</v>
      </c>
      <c r="D40" s="304">
        <f>+D39+D35</f>
        <v>16.73</v>
      </c>
      <c r="E40" s="305"/>
      <c r="F40" s="304">
        <f t="shared" ref="F40:R40" si="16">+F39+F35</f>
        <v>18.02</v>
      </c>
      <c r="G40" s="304">
        <f t="shared" si="16"/>
        <v>18.57</v>
      </c>
      <c r="H40" s="304">
        <f t="shared" si="16"/>
        <v>19.13</v>
      </c>
      <c r="I40" s="305">
        <f t="shared" si="16"/>
        <v>19.86</v>
      </c>
      <c r="J40" s="304">
        <f t="shared" si="16"/>
        <v>20.22</v>
      </c>
      <c r="K40" s="305">
        <f t="shared" si="16"/>
        <v>22.04</v>
      </c>
      <c r="L40" s="304">
        <f t="shared" si="16"/>
        <v>21.59</v>
      </c>
      <c r="M40" s="304">
        <f t="shared" si="16"/>
        <v>24.29</v>
      </c>
      <c r="N40" s="305">
        <f t="shared" si="16"/>
        <v>26.42</v>
      </c>
      <c r="O40" s="304">
        <f t="shared" si="16"/>
        <v>27.79</v>
      </c>
      <c r="P40" s="305">
        <f t="shared" si="16"/>
        <v>29.01</v>
      </c>
      <c r="Q40" s="304">
        <f t="shared" si="16"/>
        <v>32.42</v>
      </c>
      <c r="R40" s="305">
        <f t="shared" si="16"/>
        <v>32.42</v>
      </c>
    </row>
    <row r="41" spans="1:18" x14ac:dyDescent="0.35">
      <c r="C41" s="183"/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</row>
    <row r="42" spans="1:18" x14ac:dyDescent="0.35">
      <c r="C42" s="183"/>
      <c r="D42" s="183"/>
      <c r="E42" s="183"/>
      <c r="F42" s="183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</row>
    <row r="43" spans="1:18" s="183" customFormat="1" x14ac:dyDescent="0.35"/>
    <row r="44" spans="1:18" x14ac:dyDescent="0.35">
      <c r="C44" s="183"/>
      <c r="D44" s="183"/>
      <c r="E44" s="183"/>
      <c r="F44" s="183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</row>
    <row r="45" spans="1:18" s="199" customFormat="1" x14ac:dyDescent="0.35">
      <c r="B45" s="200" t="s">
        <v>280</v>
      </c>
    </row>
    <row r="46" spans="1:18" s="199" customFormat="1" x14ac:dyDescent="0.35">
      <c r="B46" s="200" t="s">
        <v>280</v>
      </c>
    </row>
    <row r="47" spans="1:18" s="199" customFormat="1" x14ac:dyDescent="0.35">
      <c r="B47" s="200"/>
    </row>
    <row r="48" spans="1:18" s="199" customFormat="1" x14ac:dyDescent="0.35">
      <c r="B48" s="200" t="s">
        <v>134</v>
      </c>
      <c r="C48" s="201">
        <f>4.97%</f>
        <v>4.9699999999999994E-2</v>
      </c>
    </row>
    <row r="49" spans="1:18" s="199" customFormat="1" x14ac:dyDescent="0.35">
      <c r="B49" s="200" t="s">
        <v>135</v>
      </c>
      <c r="C49" s="201">
        <f>4.4%</f>
        <v>4.4000000000000004E-2</v>
      </c>
    </row>
    <row r="50" spans="1:18" s="199" customFormat="1" x14ac:dyDescent="0.35">
      <c r="B50" s="200" t="s">
        <v>136</v>
      </c>
      <c r="C50" s="202">
        <v>0</v>
      </c>
    </row>
    <row r="51" spans="1:18" s="199" customFormat="1" x14ac:dyDescent="0.35">
      <c r="B51" s="200" t="s">
        <v>2</v>
      </c>
      <c r="C51" s="202">
        <v>0</v>
      </c>
    </row>
    <row r="52" spans="1:18" s="199" customFormat="1" x14ac:dyDescent="0.35">
      <c r="B52" s="200"/>
    </row>
    <row r="53" spans="1:18" s="199" customFormat="1" x14ac:dyDescent="0.35">
      <c r="B53" s="200" t="s">
        <v>64</v>
      </c>
    </row>
    <row r="54" spans="1:18" s="199" customFormat="1" x14ac:dyDescent="0.35">
      <c r="B54" s="200" t="s">
        <v>87</v>
      </c>
    </row>
    <row r="55" spans="1:18" s="199" customFormat="1" x14ac:dyDescent="0.35">
      <c r="B55" s="200"/>
    </row>
    <row r="56" spans="1:18" s="199" customFormat="1" x14ac:dyDescent="0.35">
      <c r="A56" s="199" t="s">
        <v>306</v>
      </c>
      <c r="B56" s="295">
        <v>2785.08</v>
      </c>
      <c r="C56" s="296">
        <v>2821.65</v>
      </c>
      <c r="D56" s="295">
        <v>2967.11</v>
      </c>
      <c r="E56" s="296"/>
      <c r="F56" s="295">
        <v>3197.92</v>
      </c>
      <c r="G56" s="295">
        <v>3296.77</v>
      </c>
      <c r="H56" s="295">
        <v>3396.98</v>
      </c>
      <c r="I56" s="296">
        <v>3527.59</v>
      </c>
      <c r="J56" s="295">
        <v>3592.46</v>
      </c>
      <c r="K56" s="296">
        <v>3919.01</v>
      </c>
      <c r="L56" s="295">
        <v>3837.72</v>
      </c>
      <c r="M56" s="295">
        <v>4321.4799999999996</v>
      </c>
      <c r="N56" s="296">
        <v>4702.45</v>
      </c>
      <c r="O56" s="295">
        <v>4948.9399999999996</v>
      </c>
      <c r="P56" s="296">
        <v>5166.63</v>
      </c>
      <c r="Q56" s="295">
        <v>5777.33</v>
      </c>
      <c r="R56" s="297">
        <v>5777.33</v>
      </c>
    </row>
    <row r="58" spans="1:18" x14ac:dyDescent="0.35">
      <c r="B58" s="294"/>
      <c r="C58" s="294"/>
      <c r="D58" s="294"/>
      <c r="F58" s="294"/>
      <c r="G58" s="294"/>
    </row>
    <row r="59" spans="1:18" x14ac:dyDescent="0.35">
      <c r="B59" s="180"/>
      <c r="C59" s="180"/>
    </row>
    <row r="60" spans="1:18" x14ac:dyDescent="0.35">
      <c r="C60" s="183"/>
      <c r="D60" s="183"/>
      <c r="F60" s="183"/>
      <c r="G60" s="183"/>
    </row>
    <row r="61" spans="1:18" x14ac:dyDescent="0.35">
      <c r="B61" s="180"/>
      <c r="C61" s="180"/>
      <c r="D61" s="180"/>
      <c r="E61" s="183"/>
      <c r="F61" s="180"/>
      <c r="G61" s="180"/>
      <c r="H61" s="183"/>
      <c r="I61" s="183"/>
      <c r="J61" s="183"/>
      <c r="K61" s="183"/>
      <c r="L61" s="183"/>
      <c r="M61" s="183"/>
      <c r="N61" s="183"/>
      <c r="O61" s="183"/>
      <c r="P61" s="183"/>
      <c r="Q61" s="183"/>
      <c r="R61" s="183"/>
    </row>
    <row r="62" spans="1:18" x14ac:dyDescent="0.35">
      <c r="B62" s="180"/>
      <c r="C62" s="180"/>
    </row>
    <row r="64" spans="1:18" x14ac:dyDescent="0.35">
      <c r="B64" s="306"/>
      <c r="C64" s="306"/>
      <c r="D64" s="306"/>
      <c r="E64" s="306"/>
      <c r="F64" s="306"/>
      <c r="G64" s="306"/>
      <c r="H64" s="306"/>
      <c r="I64" s="306"/>
      <c r="J64" s="306"/>
      <c r="K64" s="306"/>
      <c r="L64" s="306"/>
      <c r="M64" s="306"/>
      <c r="N64" s="306"/>
      <c r="O64" s="306"/>
      <c r="P64" s="306"/>
      <c r="Q64" s="306"/>
      <c r="R64" s="306"/>
    </row>
    <row r="65" spans="2:18" x14ac:dyDescent="0.35"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</row>
    <row r="66" spans="2:18" x14ac:dyDescent="0.35">
      <c r="C66" s="183"/>
      <c r="D66" s="183"/>
      <c r="E66" s="183"/>
      <c r="F66" s="183"/>
      <c r="G66" s="183"/>
      <c r="H66" s="183"/>
      <c r="I66" s="183"/>
      <c r="J66" s="183"/>
      <c r="K66" s="183"/>
      <c r="L66" s="183"/>
      <c r="M66" s="183"/>
      <c r="N66" s="183"/>
      <c r="O66" s="183"/>
      <c r="P66" s="183"/>
      <c r="Q66" s="183"/>
      <c r="R66" s="183"/>
    </row>
    <row r="67" spans="2:18" x14ac:dyDescent="0.35">
      <c r="B67" s="180"/>
      <c r="C67" s="180"/>
      <c r="D67" s="180"/>
      <c r="E67" s="180"/>
      <c r="F67" s="180"/>
      <c r="G67" s="180"/>
      <c r="H67" s="180"/>
      <c r="I67" s="180"/>
      <c r="J67" s="180"/>
      <c r="K67" s="180"/>
      <c r="L67" s="180"/>
      <c r="M67" s="180"/>
      <c r="N67" s="180"/>
      <c r="O67" s="180"/>
      <c r="P67" s="180"/>
      <c r="Q67" s="180"/>
      <c r="R67" s="180"/>
    </row>
  </sheetData>
  <conditionalFormatting sqref="B2">
    <cfRule type="expression" dxfId="0" priority="2">
      <formula>B1="Generale"</formula>
    </cfRule>
  </conditionalFormatting>
  <dataValidations count="2">
    <dataValidation type="list" allowBlank="1" showInputMessage="1" showErrorMessage="1" sqref="B1" xr:uid="{00000000-0002-0000-0900-000000000000}">
      <formula1>$B$45:$B$46</formula1>
      <formula2>0</formula2>
    </dataValidation>
    <dataValidation type="list" allowBlank="1" showInputMessage="1" showErrorMessage="1" sqref="B5" xr:uid="{00000000-0002-0000-0900-000001000000}">
      <formula1>$B$53:$B$54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10</vt:i4>
      </vt:variant>
      <vt:variant>
        <vt:lpstr>Intervalli denominati</vt:lpstr>
      </vt:variant>
      <vt:variant>
        <vt:i4>16</vt:i4>
      </vt:variant>
    </vt:vector>
  </HeadingPairs>
  <TitlesOfParts>
    <vt:vector size="26" baseType="lpstr">
      <vt:lpstr>INPUT</vt:lpstr>
      <vt:lpstr>SCHEDA DI INTERVENTO</vt:lpstr>
      <vt:lpstr>esprortazione</vt:lpstr>
      <vt:lpstr>CCNL-appoggio</vt:lpstr>
      <vt:lpstr>CCNL cooperative</vt:lpstr>
      <vt:lpstr>CCNL EELL</vt:lpstr>
      <vt:lpstr>CCNL EELL 2018</vt:lpstr>
      <vt:lpstr>CCNL cooperative (11-19)</vt:lpstr>
      <vt:lpstr>CCNL cooperative (4-20)</vt:lpstr>
      <vt:lpstr>CCNL cooperative (9-20)</vt:lpstr>
      <vt:lpstr>esprortazione!Area_stampa</vt:lpstr>
      <vt:lpstr>CCNLCoopCost</vt:lpstr>
      <vt:lpstr>CCNLCoopDes</vt:lpstr>
      <vt:lpstr>CCNLEELLCostOrd</vt:lpstr>
      <vt:lpstr>CCNLEELLCostStraord</vt:lpstr>
      <vt:lpstr>CCNLEELLDes</vt:lpstr>
      <vt:lpstr>mensilitàAttualiDettaglio</vt:lpstr>
      <vt:lpstr>mensilitàPacDettaglio</vt:lpstr>
      <vt:lpstr>mensilitàPacDettaglio2021</vt:lpstr>
      <vt:lpstr>oreServizioPacDettaglio</vt:lpstr>
      <vt:lpstr>risorseNettePacDettaglio2021</vt:lpstr>
      <vt:lpstr>struttureInterventiPacDettaglio</vt:lpstr>
      <vt:lpstr>strutturePACdettaglio</vt:lpstr>
      <vt:lpstr>tipologiaInterventoPacDettaglio</vt:lpstr>
      <vt:lpstr>utentiAttualiDettaglio</vt:lpstr>
      <vt:lpstr>utentiPacDettaglio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Simona Muzi</dc:creator>
  <dc:description/>
  <cp:lastModifiedBy>Maria De Guido</cp:lastModifiedBy>
  <cp:revision>2</cp:revision>
  <dcterms:created xsi:type="dcterms:W3CDTF">2006-09-16T00:00:00Z</dcterms:created>
  <dcterms:modified xsi:type="dcterms:W3CDTF">2022-12-28T17:42:03Z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